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9570" windowHeight="5700" activeTab="0"/>
  </bookViews>
  <sheets>
    <sheet name="Instructions" sheetId="1" r:id="rId1"/>
    <sheet name="Revision Control" sheetId="2" r:id="rId2"/>
    <sheet name="User Input" sheetId="3" r:id="rId3"/>
    <sheet name="User Output" sheetId="4" r:id="rId4"/>
    <sheet name="Example WG vs. Sheetmetal" sheetId="5" r:id="rId5"/>
    <sheet name="Calculations" sheetId="6" r:id="rId6"/>
  </sheets>
  <definedNames/>
  <calcPr fullCalcOnLoad="1"/>
</workbook>
</file>

<file path=xl/sharedStrings.xml><?xml version="1.0" encoding="utf-8"?>
<sst xmlns="http://schemas.openxmlformats.org/spreadsheetml/2006/main" count="144" uniqueCount="87">
  <si>
    <t>square</t>
  </si>
  <si>
    <t>rectangle</t>
  </si>
  <si>
    <t>Chassis Insert Geometry</t>
  </si>
  <si>
    <t>round</t>
  </si>
  <si>
    <t>Vent Hole Geometry</t>
  </si>
  <si>
    <t>hexagon</t>
  </si>
  <si>
    <t>Vent Pattern Geometry</t>
  </si>
  <si>
    <t>staggered</t>
  </si>
  <si>
    <t>in-line</t>
  </si>
  <si>
    <t>Airflow Geometry</t>
  </si>
  <si>
    <t>90 deg bend, from 1 side</t>
  </si>
  <si>
    <t>90 deg bend, from all sides</t>
  </si>
  <si>
    <t>straight flow into vent</t>
  </si>
  <si>
    <t/>
  </si>
  <si>
    <t>vent in infinite plane</t>
  </si>
  <si>
    <t>Depth [m]</t>
  </si>
  <si>
    <t>Hydraulic Diameter of Vent Hole [m]</t>
  </si>
  <si>
    <t>Chassis Insert Cross-Sectional Area [m^2]</t>
  </si>
  <si>
    <t>Total Vent Hole Open Area [m^2]</t>
  </si>
  <si>
    <t>% Open Area</t>
  </si>
  <si>
    <t>Hole Depth / Hydraulic Diameter [L/Dh]</t>
  </si>
  <si>
    <t>L / Dh</t>
  </si>
  <si>
    <t>tau</t>
  </si>
  <si>
    <t>Values of tau</t>
  </si>
  <si>
    <t>tau interpolation</t>
  </si>
  <si>
    <t>lambda</t>
  </si>
  <si>
    <t>Psi (Resistance Coefficient = dP/{(rho * v^2)/2}</t>
  </si>
  <si>
    <t>Representative Pressure Drop for wave guide vs. traditional vent hole</t>
  </si>
  <si>
    <t>7 dB @ 7 GHz</t>
  </si>
  <si>
    <t>Waveguide (49 holes, 20mm side, 20mm deep, 0.060" spacing)</t>
  </si>
  <si>
    <t>Sheet Metal (169 holes, 9mm side, 1.22mm deep, 0.060" spacing)</t>
  </si>
  <si>
    <t>Loss Coefficient</t>
  </si>
  <si>
    <t>Sheetmetal (169 holes, 9mm square)</t>
  </si>
  <si>
    <t>Waveguide (49 holes, 20mm square)</t>
  </si>
  <si>
    <t>75% open area</t>
  </si>
  <si>
    <t>88% open area</t>
  </si>
  <si>
    <t>Airspeed [m/s]</t>
  </si>
  <si>
    <t>Pressure Drop [Pa]</t>
  </si>
  <si>
    <t>Overall Geometry</t>
  </si>
  <si>
    <t>standard</t>
  </si>
  <si>
    <t>other</t>
  </si>
  <si>
    <t>Panel 1 Pattern Geometry</t>
  </si>
  <si>
    <t>Panel 1 Vent Hole Geometry</t>
  </si>
  <si>
    <t>Revision</t>
  </si>
  <si>
    <t>Date</t>
  </si>
  <si>
    <t>Notes</t>
  </si>
  <si>
    <t>0.15</t>
  </si>
  <si>
    <t>8/17/00</t>
  </si>
  <si>
    <t>Thermal and waveguide tools separated into distinct analysis tools</t>
  </si>
  <si>
    <t>0.35</t>
  </si>
  <si>
    <t>Panel 2 Pattern Geometry</t>
  </si>
  <si>
    <t>Panel 2 Vent Hole Geometry</t>
  </si>
  <si>
    <t>TARGET FLOWRATE [cfm]</t>
  </si>
  <si>
    <t>TARGET PRESSURE DROP [in H2O]</t>
  </si>
  <si>
    <t>Panel 1 Name</t>
  </si>
  <si>
    <t>Target Loss Coefficient</t>
  </si>
  <si>
    <t>Panel 1 Loss Coefficient</t>
  </si>
  <si>
    <t>Panel 2 Name</t>
  </si>
  <si>
    <t>Panel 2 Loss Coefficient</t>
  </si>
  <si>
    <t>Pressure Drop @ Target Flowrate</t>
  </si>
  <si>
    <t>in H2O</t>
  </si>
  <si>
    <t>Volumetric Flowrate</t>
  </si>
  <si>
    <t>Target</t>
  </si>
  <si>
    <t>Percent Open</t>
  </si>
  <si>
    <t>Added second panel analysis capability and comparative plot, crossed out inlet geometry option (not accounted for)</t>
  </si>
  <si>
    <t>Distributed internally for feedback, prior to release to EPG and others</t>
  </si>
  <si>
    <t>0.5</t>
  </si>
  <si>
    <t>9/7/00</t>
  </si>
  <si>
    <t>Assume the in-line pattern above has 4mm diameter holes, and is 39mm on a side.</t>
  </si>
  <si>
    <t>Hydraulic Diameter</t>
  </si>
  <si>
    <t>A = pi*D^2/4</t>
  </si>
  <si>
    <t>P = pi*D</t>
  </si>
  <si>
    <t>Dh=4A/P</t>
  </si>
  <si>
    <t>Dh = 4*(pi*D^2/4)/(pi*D) = D</t>
  </si>
  <si>
    <t>Percent Open Area</t>
  </si>
  <si>
    <t>Example Hydraulic Diameter and Percent Open Area Calculation</t>
  </si>
  <si>
    <t>Total Hole Cross Section = 64 * pi * (4mm)^2/4 = 804mm^2</t>
  </si>
  <si>
    <t>Total Panel Cross Section = (39mm) * (39mm) = 1521mm^2</t>
  </si>
  <si>
    <t>Percent Open Area = (Total Hole Area) / (Total Panel Area) = 52.9%</t>
  </si>
  <si>
    <t>Added instructions for calculating percent open &amp; hydraulic diameter</t>
  </si>
  <si>
    <t>Correlations from Idelchik's</t>
  </si>
  <si>
    <t>Flow Resistance Handbook</t>
  </si>
  <si>
    <t>WG &amp; Case 2 SM</t>
  </si>
  <si>
    <t>Case 1 Sheet Metal</t>
  </si>
  <si>
    <t>0.9</t>
  </si>
  <si>
    <t>2/20/01</t>
  </si>
  <si>
    <t>removed inlet geometry options from the tool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</si>
</sst>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0.000"/>
    <numFmt numFmtId="168" formatCode="0.0000"/>
  </numFmts>
  <fonts count="11">
    <font>
      <sz val="10"/>
      <name val="Arial"/>
      <family val="0"/>
    </font>
    <font>
      <b/>
      <sz val="10"/>
      <name val="Arial"/>
      <family val="2"/>
    </font>
    <font>
      <b/>
      <sz val="12"/>
      <name val="Arial"/>
      <family val="2"/>
    </font>
    <font>
      <sz val="9"/>
      <name val="Arial"/>
      <family val="0"/>
    </font>
    <font>
      <b/>
      <sz val="11"/>
      <name val="Arial"/>
      <family val="0"/>
    </font>
    <font>
      <sz val="11"/>
      <name val="Arial"/>
      <family val="0"/>
    </font>
    <font>
      <b/>
      <u val="single"/>
      <sz val="12"/>
      <name val="Arial"/>
      <family val="2"/>
    </font>
    <font>
      <sz val="12"/>
      <name val="Arial"/>
      <family val="2"/>
    </font>
    <font>
      <strike/>
      <sz val="10"/>
      <name val="Arial"/>
      <family val="2"/>
    </font>
    <font>
      <sz val="14"/>
      <name val="Arial"/>
      <family val="2"/>
    </font>
    <font>
      <i/>
      <sz val="12"/>
      <name val="Arial"/>
      <family val="2"/>
    </font>
  </fonts>
  <fills count="3">
    <fill>
      <patternFill/>
    </fill>
    <fill>
      <patternFill patternType="gray125"/>
    </fill>
    <fill>
      <patternFill patternType="solid">
        <fgColor indexed="41"/>
        <bgColor indexed="64"/>
      </patternFill>
    </fill>
  </fills>
  <borders count="4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thin"/>
    </border>
    <border>
      <left style="thin"/>
      <right style="medium"/>
      <top style="medium"/>
      <bottom>
        <color indexed="63"/>
      </bottom>
    </border>
    <border>
      <left>
        <color indexed="63"/>
      </left>
      <right>
        <color indexed="63"/>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color indexed="63"/>
      </right>
      <top style="thin"/>
      <bottom style="medium"/>
    </border>
    <border>
      <left style="medium"/>
      <right style="medium"/>
      <top style="thin"/>
      <bottom style="mediu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color indexed="63"/>
      </left>
      <right style="medium"/>
      <top style="thin"/>
      <bottom style="thin"/>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style="medium"/>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Alignment="1">
      <alignment horizontal="center"/>
    </xf>
    <xf numFmtId="0" fontId="1" fillId="0" borderId="0" xfId="0" applyFont="1" applyAlignment="1">
      <alignment/>
    </xf>
    <xf numFmtId="0" fontId="6" fillId="0" borderId="0" xfId="0" applyFont="1" applyAlignment="1">
      <alignment/>
    </xf>
    <xf numFmtId="49" fontId="0" fillId="0" borderId="0" xfId="0" applyNumberFormat="1" applyAlignment="1">
      <alignment horizontal="center"/>
    </xf>
    <xf numFmtId="0" fontId="0" fillId="0" borderId="0" xfId="0"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1" xfId="0" applyFill="1" applyBorder="1" applyAlignment="1" applyProtection="1">
      <alignment horizontal="center"/>
      <protection hidden="1"/>
    </xf>
    <xf numFmtId="0" fontId="0" fillId="2" borderId="2" xfId="0" applyFill="1" applyBorder="1" applyAlignment="1" applyProtection="1">
      <alignment horizontal="center"/>
      <protection hidden="1" locked="0"/>
    </xf>
    <xf numFmtId="0" fontId="1" fillId="2" borderId="3" xfId="0" applyFont="1" applyFill="1" applyBorder="1" applyAlignment="1" applyProtection="1">
      <alignment horizontal="center"/>
      <protection hidden="1"/>
    </xf>
    <xf numFmtId="0" fontId="1" fillId="2" borderId="4"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2" borderId="0" xfId="0" applyFill="1" applyAlignment="1" applyProtection="1">
      <alignment/>
      <protection hidden="1"/>
    </xf>
    <xf numFmtId="0" fontId="0" fillId="2" borderId="0" xfId="0" applyFill="1" applyAlignment="1" applyProtection="1">
      <alignment horizontal="center"/>
      <protection hidden="1"/>
    </xf>
    <xf numFmtId="0" fontId="1" fillId="2" borderId="7"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0" fontId="1" fillId="0" borderId="0" xfId="0" applyFont="1" applyFill="1" applyAlignment="1" applyProtection="1">
      <alignment/>
      <protection hidden="1"/>
    </xf>
    <xf numFmtId="0" fontId="8" fillId="2" borderId="5" xfId="0" applyFont="1" applyFill="1" applyBorder="1" applyAlignment="1" applyProtection="1">
      <alignment horizontal="center"/>
      <protection hidden="1"/>
    </xf>
    <xf numFmtId="0" fontId="0" fillId="2" borderId="8" xfId="0" applyFill="1" applyBorder="1" applyAlignment="1" applyProtection="1">
      <alignment horizontal="center"/>
      <protection hidden="1"/>
    </xf>
    <xf numFmtId="0" fontId="0" fillId="2" borderId="9" xfId="0" applyFill="1" applyBorder="1" applyAlignment="1" applyProtection="1">
      <alignment/>
      <protection hidden="1"/>
    </xf>
    <xf numFmtId="0" fontId="0" fillId="2" borderId="10" xfId="0" applyFill="1" applyBorder="1" applyAlignment="1" applyProtection="1">
      <alignment horizontal="center"/>
      <protection hidden="1"/>
    </xf>
    <xf numFmtId="0" fontId="1" fillId="2" borderId="11" xfId="0" applyFont="1" applyFill="1" applyBorder="1" applyAlignment="1" applyProtection="1">
      <alignment horizontal="center"/>
      <protection hidden="1"/>
    </xf>
    <xf numFmtId="0" fontId="1" fillId="2" borderId="12" xfId="0" applyFont="1" applyFill="1" applyBorder="1" applyAlignment="1" applyProtection="1">
      <alignment horizontal="center"/>
      <protection hidden="1"/>
    </xf>
    <xf numFmtId="0" fontId="1" fillId="2" borderId="13" xfId="0" applyFont="1" applyFill="1" applyBorder="1" applyAlignment="1" applyProtection="1">
      <alignment horizontal="center"/>
      <protection hidden="1"/>
    </xf>
    <xf numFmtId="0" fontId="0" fillId="2" borderId="14" xfId="0" applyFill="1" applyBorder="1" applyAlignment="1" applyProtection="1">
      <alignment/>
      <protection hidden="1"/>
    </xf>
    <xf numFmtId="0" fontId="0" fillId="2" borderId="15" xfId="0" applyFill="1" applyBorder="1" applyAlignment="1" applyProtection="1">
      <alignment/>
      <protection hidden="1"/>
    </xf>
    <xf numFmtId="0" fontId="0" fillId="2" borderId="16" xfId="0" applyFill="1" applyBorder="1" applyAlignment="1" applyProtection="1">
      <alignment horizontal="center"/>
      <protection hidden="1"/>
    </xf>
    <xf numFmtId="0" fontId="0" fillId="2" borderId="17" xfId="0" applyFill="1" applyBorder="1" applyAlignment="1" applyProtection="1">
      <alignment horizontal="center"/>
      <protection hidden="1"/>
    </xf>
    <xf numFmtId="0" fontId="0" fillId="2" borderId="18" xfId="0" applyFill="1" applyBorder="1" applyAlignment="1" applyProtection="1">
      <alignment/>
      <protection hidden="1"/>
    </xf>
    <xf numFmtId="0" fontId="0" fillId="2" borderId="19" xfId="0" applyFill="1" applyBorder="1" applyAlignment="1" applyProtection="1">
      <alignment/>
      <protection hidden="1"/>
    </xf>
    <xf numFmtId="0" fontId="0" fillId="2" borderId="20" xfId="0" applyFill="1" applyBorder="1" applyAlignment="1" applyProtection="1">
      <alignment horizontal="center"/>
      <protection hidden="1"/>
    </xf>
    <xf numFmtId="0" fontId="0" fillId="2" borderId="0" xfId="0" applyFill="1" applyBorder="1" applyAlignment="1" applyProtection="1">
      <alignment/>
      <protection hidden="1"/>
    </xf>
    <xf numFmtId="0" fontId="0" fillId="2" borderId="21" xfId="0" applyFill="1" applyBorder="1" applyAlignment="1" applyProtection="1">
      <alignment/>
      <protection hidden="1"/>
    </xf>
    <xf numFmtId="0" fontId="0" fillId="2" borderId="22" xfId="0" applyFill="1" applyBorder="1" applyAlignment="1" applyProtection="1">
      <alignment/>
      <protection hidden="1"/>
    </xf>
    <xf numFmtId="0" fontId="0" fillId="2" borderId="23" xfId="0" applyFill="1" applyBorder="1" applyAlignment="1" applyProtection="1">
      <alignment/>
      <protection hidden="1"/>
    </xf>
    <xf numFmtId="0" fontId="0" fillId="2" borderId="1" xfId="0" applyFill="1" applyBorder="1" applyAlignment="1" applyProtection="1">
      <alignment/>
      <protection hidden="1"/>
    </xf>
    <xf numFmtId="0" fontId="1" fillId="2" borderId="0" xfId="0" applyFont="1" applyFill="1" applyBorder="1" applyAlignment="1" applyProtection="1">
      <alignment/>
      <protection hidden="1"/>
    </xf>
    <xf numFmtId="0" fontId="0" fillId="2" borderId="2" xfId="0" applyFill="1" applyBorder="1" applyAlignment="1" applyProtection="1">
      <alignment/>
      <protection hidden="1"/>
    </xf>
    <xf numFmtId="0" fontId="1" fillId="2" borderId="24" xfId="0" applyFont="1" applyFill="1" applyBorder="1" applyAlignment="1" applyProtection="1">
      <alignment horizontal="center"/>
      <protection hidden="1"/>
    </xf>
    <xf numFmtId="0" fontId="1" fillId="2" borderId="15" xfId="0" applyFont="1" applyFill="1" applyBorder="1" applyAlignment="1" applyProtection="1">
      <alignment horizontal="center" vertical="center"/>
      <protection hidden="1"/>
    </xf>
    <xf numFmtId="0" fontId="1" fillId="2" borderId="2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0" xfId="0" applyFont="1" applyFill="1" applyBorder="1" applyAlignment="1" applyProtection="1">
      <alignment horizontal="left"/>
      <protection hidden="1"/>
    </xf>
    <xf numFmtId="0" fontId="1" fillId="2" borderId="26" xfId="0" applyFont="1" applyFill="1" applyBorder="1" applyAlignment="1" applyProtection="1">
      <alignment horizontal="center"/>
      <protection hidden="1"/>
    </xf>
    <xf numFmtId="0" fontId="2" fillId="2" borderId="27" xfId="0" applyFont="1" applyFill="1" applyBorder="1" applyAlignment="1" applyProtection="1">
      <alignment horizontal="center" vertical="center"/>
      <protection hidden="1"/>
    </xf>
    <xf numFmtId="167" fontId="1" fillId="2" borderId="27" xfId="0" applyNumberFormat="1" applyFont="1" applyFill="1" applyBorder="1" applyAlignment="1" applyProtection="1">
      <alignment horizontal="center"/>
      <protection hidden="1"/>
    </xf>
    <xf numFmtId="167" fontId="1" fillId="0" borderId="27" xfId="0" applyNumberFormat="1" applyFont="1" applyFill="1" applyBorder="1" applyAlignment="1" applyProtection="1">
      <alignment horizontal="center"/>
      <protection hidden="1"/>
    </xf>
    <xf numFmtId="0" fontId="0" fillId="2" borderId="5" xfId="0" applyFill="1" applyBorder="1" applyAlignment="1" applyProtection="1">
      <alignment/>
      <protection hidden="1"/>
    </xf>
    <xf numFmtId="0" fontId="0" fillId="2" borderId="28" xfId="0" applyFill="1" applyBorder="1" applyAlignment="1" applyProtection="1">
      <alignment/>
      <protection hidden="1"/>
    </xf>
    <xf numFmtId="0" fontId="0" fillId="2" borderId="6" xfId="0" applyFill="1" applyBorder="1" applyAlignment="1" applyProtection="1">
      <alignment/>
      <protection hidden="1"/>
    </xf>
    <xf numFmtId="0" fontId="1" fillId="2" borderId="0" xfId="0" applyFon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locked="0"/>
    </xf>
    <xf numFmtId="0" fontId="0" fillId="2" borderId="0" xfId="0" applyFill="1" applyBorder="1" applyAlignment="1" applyProtection="1">
      <alignment/>
      <protection hidden="1"/>
    </xf>
    <xf numFmtId="0" fontId="0" fillId="2" borderId="22" xfId="0" applyFill="1" applyBorder="1" applyAlignment="1" applyProtection="1">
      <alignment horizontal="center"/>
      <protection hidden="1"/>
    </xf>
    <xf numFmtId="0" fontId="1" fillId="2" borderId="27" xfId="0" applyFont="1" applyFill="1" applyBorder="1" applyAlignment="1" applyProtection="1">
      <alignment horizontal="center"/>
      <protection hidden="1"/>
    </xf>
    <xf numFmtId="167" fontId="1" fillId="2" borderId="29" xfId="0" applyNumberFormat="1" applyFont="1" applyFill="1" applyBorder="1" applyAlignment="1" applyProtection="1">
      <alignment horizontal="center"/>
      <protection hidden="1"/>
    </xf>
    <xf numFmtId="0" fontId="2" fillId="0" borderId="29" xfId="0" applyFont="1" applyFill="1" applyBorder="1" applyAlignment="1" applyProtection="1">
      <alignment horizontal="center" vertical="center"/>
      <protection locked="0"/>
    </xf>
    <xf numFmtId="0" fontId="1" fillId="0" borderId="21" xfId="0" applyFont="1" applyBorder="1" applyAlignment="1" applyProtection="1">
      <alignment/>
      <protection hidden="1"/>
    </xf>
    <xf numFmtId="0" fontId="0" fillId="0" borderId="22" xfId="0" applyBorder="1" applyAlignment="1" applyProtection="1">
      <alignment horizontal="center"/>
      <protection hidden="1"/>
    </xf>
    <xf numFmtId="0" fontId="0" fillId="0" borderId="23" xfId="0" applyBorder="1" applyAlignment="1" applyProtection="1">
      <alignment/>
      <protection hidden="1"/>
    </xf>
    <xf numFmtId="0" fontId="1" fillId="0" borderId="1" xfId="0" applyFont="1" applyBorder="1" applyAlignment="1" applyProtection="1">
      <alignment/>
      <protection hidden="1"/>
    </xf>
    <xf numFmtId="168" fontId="0" fillId="0" borderId="0" xfId="0" applyNumberFormat="1" applyBorder="1" applyAlignment="1" applyProtection="1">
      <alignment horizontal="center"/>
      <protection hidden="1"/>
    </xf>
    <xf numFmtId="0" fontId="0" fillId="0" borderId="2" xfId="0" applyBorder="1" applyAlignment="1" applyProtection="1">
      <alignment/>
      <protection hidden="1"/>
    </xf>
    <xf numFmtId="0" fontId="1" fillId="0" borderId="5" xfId="0" applyFont="1" applyBorder="1" applyAlignment="1" applyProtection="1">
      <alignment/>
      <protection hidden="1"/>
    </xf>
    <xf numFmtId="10" fontId="0" fillId="0" borderId="28" xfId="0" applyNumberFormat="1" applyBorder="1" applyAlignment="1" applyProtection="1">
      <alignment horizontal="center"/>
      <protection hidden="1"/>
    </xf>
    <xf numFmtId="0" fontId="0" fillId="0" borderId="6" xfId="0" applyBorder="1" applyAlignment="1" applyProtection="1">
      <alignment/>
      <protection hidden="1"/>
    </xf>
    <xf numFmtId="10" fontId="0" fillId="0" borderId="28" xfId="0" applyNumberFormat="1" applyBorder="1" applyAlignment="1" applyProtection="1">
      <alignment/>
      <protection hidden="1"/>
    </xf>
    <xf numFmtId="0" fontId="0" fillId="2" borderId="0" xfId="0" applyFill="1" applyBorder="1" applyAlignment="1" applyProtection="1">
      <alignment horizontal="center" vertical="center"/>
      <protection hidden="1"/>
    </xf>
    <xf numFmtId="0" fontId="1"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1" fillId="0" borderId="1" xfId="0" applyFont="1" applyBorder="1" applyAlignment="1">
      <alignment/>
    </xf>
    <xf numFmtId="0" fontId="0" fillId="0" borderId="5" xfId="0" applyBorder="1" applyAlignment="1">
      <alignment/>
    </xf>
    <xf numFmtId="0" fontId="0" fillId="0" borderId="28" xfId="0" applyBorder="1" applyAlignment="1">
      <alignment/>
    </xf>
    <xf numFmtId="0" fontId="0" fillId="0" borderId="6" xfId="0" applyBorder="1" applyAlignment="1">
      <alignment/>
    </xf>
    <xf numFmtId="11" fontId="0" fillId="0" borderId="0" xfId="0" applyNumberFormat="1" applyAlignment="1" applyProtection="1">
      <alignment horizontal="center"/>
      <protection hidden="1"/>
    </xf>
    <xf numFmtId="11" fontId="0" fillId="0" borderId="0" xfId="0" applyNumberFormat="1" applyAlignment="1" applyProtection="1">
      <alignment/>
      <protection hidden="1"/>
    </xf>
    <xf numFmtId="0" fontId="0" fillId="0" borderId="7" xfId="0" applyFill="1" applyBorder="1" applyAlignment="1" applyProtection="1">
      <alignment horizontal="center" vertical="center"/>
      <protection hidden="1" locked="0"/>
    </xf>
    <xf numFmtId="0" fontId="0" fillId="0" borderId="29" xfId="0" applyFill="1" applyBorder="1" applyAlignment="1" applyProtection="1">
      <alignment horizontal="center" vertical="center"/>
      <protection hidden="1" locked="0"/>
    </xf>
    <xf numFmtId="0" fontId="0" fillId="0" borderId="14" xfId="0" applyFill="1" applyBorder="1" applyAlignment="1" applyProtection="1">
      <alignment horizontal="center" vertical="center"/>
      <protection hidden="1" locked="0"/>
    </xf>
    <xf numFmtId="0" fontId="0" fillId="0" borderId="18" xfId="0" applyFill="1" applyBorder="1" applyAlignment="1" applyProtection="1">
      <alignment horizontal="center" vertical="center"/>
      <protection hidden="1" locked="0"/>
    </xf>
    <xf numFmtId="0" fontId="1" fillId="2" borderId="21"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1" fillId="2" borderId="7" xfId="0"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0" xfId="0" applyFill="1" applyBorder="1" applyAlignment="1" applyProtection="1">
      <alignment horizontal="center" vertical="center"/>
      <protection hidden="1" locked="0"/>
    </xf>
    <xf numFmtId="0" fontId="0" fillId="0" borderId="4" xfId="0" applyFill="1" applyBorder="1" applyAlignment="1" applyProtection="1">
      <alignment horizontal="center" vertical="center"/>
      <protection hidden="1" locked="0"/>
    </xf>
    <xf numFmtId="0" fontId="0" fillId="0" borderId="31" xfId="0" applyFill="1" applyBorder="1" applyAlignment="1" applyProtection="1">
      <alignment horizontal="center" vertical="center"/>
      <protection hidden="1" locked="0"/>
    </xf>
    <xf numFmtId="0" fontId="0" fillId="0" borderId="32" xfId="0" applyFill="1" applyBorder="1" applyAlignment="1" applyProtection="1">
      <alignment horizontal="center" vertical="center"/>
      <protection hidden="1" locked="0"/>
    </xf>
    <xf numFmtId="0" fontId="2" fillId="2" borderId="33" xfId="0" applyFont="1" applyFill="1" applyBorder="1" applyAlignment="1" applyProtection="1">
      <alignment horizontal="center"/>
      <protection hidden="1"/>
    </xf>
    <xf numFmtId="0" fontId="2" fillId="2" borderId="34" xfId="0" applyFont="1" applyFill="1" applyBorder="1" applyAlignment="1" applyProtection="1">
      <alignment horizontal="center"/>
      <protection hidden="1"/>
    </xf>
    <xf numFmtId="0" fontId="0" fillId="0" borderId="15" xfId="0" applyFill="1" applyBorder="1" applyAlignment="1" applyProtection="1">
      <alignment horizontal="center" vertical="center"/>
      <protection hidden="1" locked="0"/>
    </xf>
    <xf numFmtId="0" fontId="0" fillId="0" borderId="19" xfId="0" applyFill="1" applyBorder="1" applyAlignment="1" applyProtection="1">
      <alignment horizontal="center" vertical="center"/>
      <protection hidden="1" locked="0"/>
    </xf>
    <xf numFmtId="0" fontId="0" fillId="0" borderId="35" xfId="0" applyFill="1" applyBorder="1" applyAlignment="1" applyProtection="1">
      <alignment horizontal="center" vertical="center"/>
      <protection hidden="1" locked="0"/>
    </xf>
    <xf numFmtId="0" fontId="0" fillId="0" borderId="36" xfId="0" applyFill="1" applyBorder="1" applyAlignment="1" applyProtection="1">
      <alignment horizontal="center" vertical="center"/>
      <protection hidden="1" locked="0"/>
    </xf>
    <xf numFmtId="0" fontId="0" fillId="0" borderId="16" xfId="0" applyFill="1" applyBorder="1" applyAlignment="1" applyProtection="1">
      <alignment horizontal="center" vertical="center"/>
      <protection hidden="1" locked="0"/>
    </xf>
    <xf numFmtId="0" fontId="0" fillId="0" borderId="20" xfId="0" applyFill="1" applyBorder="1" applyAlignment="1" applyProtection="1">
      <alignment horizontal="center" vertical="center"/>
      <protection hidden="1" locked="0"/>
    </xf>
    <xf numFmtId="0" fontId="0" fillId="0" borderId="34" xfId="0" applyBorder="1" applyAlignment="1" applyProtection="1">
      <alignment horizontal="center"/>
      <protection hidden="1"/>
    </xf>
    <xf numFmtId="0" fontId="0" fillId="0" borderId="11" xfId="0" applyFill="1" applyBorder="1" applyAlignment="1" applyProtection="1">
      <alignment horizontal="center" vertical="center"/>
      <protection hidden="1" locked="0"/>
    </xf>
    <xf numFmtId="0" fontId="1" fillId="0" borderId="21"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5" xfId="0" applyFont="1" applyBorder="1" applyAlignment="1" applyProtection="1">
      <alignment horizontal="center"/>
      <protection hidden="1"/>
    </xf>
    <xf numFmtId="0" fontId="0" fillId="0" borderId="6" xfId="0" applyFont="1" applyBorder="1" applyAlignment="1" applyProtection="1">
      <alignment horizontal="center"/>
      <protection hidden="1"/>
    </xf>
    <xf numFmtId="0" fontId="2" fillId="2" borderId="37" xfId="0" applyFont="1" applyFill="1" applyBorder="1" applyAlignment="1" applyProtection="1">
      <alignment horizontal="center"/>
      <protection hidden="1"/>
    </xf>
    <xf numFmtId="0" fontId="2" fillId="2" borderId="38" xfId="0" applyFont="1" applyFill="1" applyBorder="1" applyAlignment="1" applyProtection="1">
      <alignment horizontal="center"/>
      <protection hidden="1"/>
    </xf>
    <xf numFmtId="10" fontId="0" fillId="0" borderId="5" xfId="0" applyNumberFormat="1" applyFont="1" applyBorder="1" applyAlignment="1" applyProtection="1">
      <alignment horizontal="center"/>
      <protection hidden="1"/>
    </xf>
    <xf numFmtId="10" fontId="0" fillId="0" borderId="6" xfId="0" applyNumberFormat="1" applyFont="1" applyBorder="1" applyAlignment="1" applyProtection="1">
      <alignment horizontal="center"/>
      <protection hidden="1"/>
    </xf>
    <xf numFmtId="0" fontId="1" fillId="0" borderId="0" xfId="0" applyFont="1" applyBorder="1" applyAlignment="1" applyProtection="1">
      <alignment horizontal="center"/>
      <protection hidden="1"/>
    </xf>
    <xf numFmtId="164" fontId="1" fillId="0" borderId="21" xfId="0" applyNumberFormat="1" applyFont="1" applyBorder="1" applyAlignment="1" applyProtection="1">
      <alignment horizontal="center"/>
      <protection hidden="1"/>
    </xf>
    <xf numFmtId="164" fontId="1" fillId="0" borderId="0" xfId="0" applyNumberFormat="1" applyFont="1" applyBorder="1" applyAlignment="1" applyProtection="1">
      <alignment horizontal="center"/>
      <protection hidden="1"/>
    </xf>
    <xf numFmtId="164" fontId="0" fillId="0" borderId="5" xfId="0" applyNumberFormat="1" applyFont="1" applyBorder="1" applyAlignment="1" applyProtection="1">
      <alignment horizontal="center"/>
      <protection hidden="1"/>
    </xf>
    <xf numFmtId="0" fontId="0" fillId="0" borderId="23" xfId="0" applyBorder="1" applyAlignment="1" applyProtection="1">
      <alignment horizontal="center"/>
      <protection hidden="1"/>
    </xf>
    <xf numFmtId="164" fontId="0" fillId="0" borderId="5"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1" fillId="2" borderId="33" xfId="0" applyFont="1" applyFill="1" applyBorder="1" applyAlignment="1" applyProtection="1">
      <alignment horizontal="left"/>
      <protection hidden="1"/>
    </xf>
    <xf numFmtId="0" fontId="0" fillId="0" borderId="34" xfId="0" applyBorder="1" applyAlignment="1" applyProtection="1">
      <alignment/>
      <protection hidden="1"/>
    </xf>
    <xf numFmtId="0" fontId="0" fillId="2" borderId="14" xfId="0" applyFont="1" applyFill="1" applyBorder="1" applyAlignment="1" applyProtection="1">
      <alignment horizontal="center" vertical="center"/>
      <protection hidden="1"/>
    </xf>
    <xf numFmtId="0" fontId="0" fillId="2" borderId="18" xfId="0" applyFont="1" applyFill="1" applyBorder="1" applyAlignment="1" applyProtection="1">
      <alignment horizontal="center" vertical="center"/>
      <protection hidden="1"/>
    </xf>
    <xf numFmtId="0" fontId="1" fillId="0" borderId="34" xfId="0" applyFont="1" applyBorder="1" applyAlignment="1" applyProtection="1">
      <alignment horizontal="left"/>
      <protection hidden="1"/>
    </xf>
    <xf numFmtId="0" fontId="0" fillId="2" borderId="30" xfId="0" applyFill="1" applyBorder="1" applyAlignment="1" applyProtection="1">
      <alignment horizontal="center" vertical="center"/>
      <protection hidden="1"/>
    </xf>
    <xf numFmtId="0" fontId="0" fillId="2" borderId="39" xfId="0" applyFill="1" applyBorder="1" applyAlignment="1" applyProtection="1">
      <alignment horizontal="center" vertical="center"/>
      <protection hidden="1"/>
    </xf>
    <xf numFmtId="0" fontId="0" fillId="2" borderId="40" xfId="0" applyFont="1" applyFill="1" applyBorder="1" applyAlignment="1" applyProtection="1">
      <alignment horizontal="center" vertical="center"/>
      <protection hidden="1"/>
    </xf>
    <xf numFmtId="0" fontId="0" fillId="2" borderId="29" xfId="0" applyFont="1" applyFill="1" applyBorder="1" applyAlignment="1" applyProtection="1">
      <alignment horizontal="center" vertical="center"/>
      <protection hidden="1"/>
    </xf>
    <xf numFmtId="0" fontId="1" fillId="2" borderId="33" xfId="0" applyFont="1" applyFill="1" applyBorder="1" applyAlignment="1" applyProtection="1">
      <alignment/>
      <protection hidden="1"/>
    </xf>
    <xf numFmtId="0" fontId="0" fillId="2" borderId="34" xfId="0" applyFill="1" applyBorder="1" applyAlignment="1" applyProtection="1">
      <alignment horizontal="center"/>
      <protection hidden="1"/>
    </xf>
    <xf numFmtId="0" fontId="0" fillId="2" borderId="40" xfId="0" applyFill="1" applyBorder="1" applyAlignment="1" applyProtection="1">
      <alignment horizontal="center" vertical="center"/>
      <protection hidden="1"/>
    </xf>
    <xf numFmtId="0" fontId="0" fillId="2" borderId="29" xfId="0" applyFill="1" applyBorder="1" applyAlignment="1" applyProtection="1">
      <alignment horizontal="center" vertical="center"/>
      <protection hidden="1"/>
    </xf>
  </cellXfs>
  <cellStyles count="6">
    <cellStyle name="Normal" xfId="0"/>
    <cellStyle name="Comma" xfId="15"/>
    <cellStyle name="Comma [0]" xfId="16"/>
    <cellStyle name="Currency" xfId="17"/>
    <cellStyle name="Currency [0]" xfId="18"/>
    <cellStyle name="Percent" xfId="19"/>
  </cellStyles>
  <dxfs count="2">
    <dxf>
      <font>
        <color rgb="FFFFFFFF"/>
      </font>
      <fill>
        <patternFill>
          <bgColor rgb="FF0080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3775"/>
          <c:w val="0.8425"/>
          <c:h val="0.82475"/>
        </c:manualLayout>
      </c:layout>
      <c:scatterChart>
        <c:scatterStyle val="smooth"/>
        <c:varyColors val="0"/>
        <c:ser>
          <c:idx val="0"/>
          <c:order val="0"/>
          <c:tx>
            <c:strRef>
              <c:f>'User Output'!$C$27</c:f>
              <c:strCache>
                <c:ptCount val="1"/>
                <c:pt idx="0">
                  <c:v>Case 1 Sheet Metal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'User Output'!$B$28:$B$36</c:f>
              <c:numCache>
                <c:ptCount val="9"/>
                <c:pt idx="0">
                  <c:v>0</c:v>
                </c:pt>
                <c:pt idx="1">
                  <c:v>0</c:v>
                </c:pt>
                <c:pt idx="2">
                  <c:v>0</c:v>
                </c:pt>
                <c:pt idx="3">
                  <c:v>0</c:v>
                </c:pt>
                <c:pt idx="4">
                  <c:v>0</c:v>
                </c:pt>
                <c:pt idx="5">
                  <c:v>0</c:v>
                </c:pt>
                <c:pt idx="6">
                  <c:v>0</c:v>
                </c:pt>
                <c:pt idx="7">
                  <c:v>0</c:v>
                </c:pt>
                <c:pt idx="8">
                  <c:v>0</c:v>
                </c:pt>
              </c:numCache>
            </c:numRef>
          </c:xVal>
          <c:yVal>
            <c:numRef>
              <c:f>'User Output'!$C$28:$C$36</c:f>
              <c:numCache>
                <c:ptCount val="9"/>
                <c:pt idx="0">
                  <c:v>0</c:v>
                </c:pt>
                <c:pt idx="1">
                  <c:v>0</c:v>
                </c:pt>
                <c:pt idx="2">
                  <c:v>0</c:v>
                </c:pt>
                <c:pt idx="3">
                  <c:v>0</c:v>
                </c:pt>
                <c:pt idx="4">
                  <c:v>0</c:v>
                </c:pt>
                <c:pt idx="5">
                  <c:v>0</c:v>
                </c:pt>
                <c:pt idx="6">
                  <c:v>0</c:v>
                </c:pt>
                <c:pt idx="7">
                  <c:v>0</c:v>
                </c:pt>
                <c:pt idx="8">
                  <c:v>0</c:v>
                </c:pt>
              </c:numCache>
            </c:numRef>
          </c:yVal>
          <c:smooth val="1"/>
        </c:ser>
        <c:ser>
          <c:idx val="1"/>
          <c:order val="1"/>
          <c:tx>
            <c:strRef>
              <c:f>'User Output'!$D$27</c:f>
              <c:strCache>
                <c:ptCount val="1"/>
                <c:pt idx="0">
                  <c:v>WG &amp; Case 2 SM</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'User Output'!$B$28:$B$36</c:f>
              <c:numCache>
                <c:ptCount val="9"/>
                <c:pt idx="0">
                  <c:v>0</c:v>
                </c:pt>
                <c:pt idx="1">
                  <c:v>0</c:v>
                </c:pt>
                <c:pt idx="2">
                  <c:v>0</c:v>
                </c:pt>
                <c:pt idx="3">
                  <c:v>0</c:v>
                </c:pt>
                <c:pt idx="4">
                  <c:v>0</c:v>
                </c:pt>
                <c:pt idx="5">
                  <c:v>0</c:v>
                </c:pt>
                <c:pt idx="6">
                  <c:v>0</c:v>
                </c:pt>
                <c:pt idx="7">
                  <c:v>0</c:v>
                </c:pt>
                <c:pt idx="8">
                  <c:v>0</c:v>
                </c:pt>
              </c:numCache>
            </c:numRef>
          </c:xVal>
          <c:yVal>
            <c:numRef>
              <c:f>'User Output'!$D$28:$D$36</c:f>
              <c:numCache>
                <c:ptCount val="9"/>
                <c:pt idx="0">
                  <c:v>0</c:v>
                </c:pt>
                <c:pt idx="1">
                  <c:v>0</c:v>
                </c:pt>
                <c:pt idx="2">
                  <c:v>0</c:v>
                </c:pt>
                <c:pt idx="3">
                  <c:v>0</c:v>
                </c:pt>
                <c:pt idx="4">
                  <c:v>0</c:v>
                </c:pt>
                <c:pt idx="5">
                  <c:v>0</c:v>
                </c:pt>
                <c:pt idx="6">
                  <c:v>0</c:v>
                </c:pt>
                <c:pt idx="7">
                  <c:v>0</c:v>
                </c:pt>
                <c:pt idx="8">
                  <c:v>0</c:v>
                </c:pt>
              </c:numCache>
            </c:numRef>
          </c:yVal>
          <c:smooth val="1"/>
        </c:ser>
        <c:ser>
          <c:idx val="2"/>
          <c:order val="2"/>
          <c:tx>
            <c:strRef>
              <c:f>'User Output'!$E$27</c:f>
              <c:strCache>
                <c:ptCount val="1"/>
                <c:pt idx="0">
                  <c:v>Target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'User Output'!$B$28:$B$36</c:f>
              <c:numCache>
                <c:ptCount val="9"/>
                <c:pt idx="0">
                  <c:v>0</c:v>
                </c:pt>
                <c:pt idx="1">
                  <c:v>0</c:v>
                </c:pt>
                <c:pt idx="2">
                  <c:v>0</c:v>
                </c:pt>
                <c:pt idx="3">
                  <c:v>0</c:v>
                </c:pt>
                <c:pt idx="4">
                  <c:v>0</c:v>
                </c:pt>
                <c:pt idx="5">
                  <c:v>0</c:v>
                </c:pt>
                <c:pt idx="6">
                  <c:v>0</c:v>
                </c:pt>
                <c:pt idx="7">
                  <c:v>0</c:v>
                </c:pt>
                <c:pt idx="8">
                  <c:v>0</c:v>
                </c:pt>
              </c:numCache>
            </c:numRef>
          </c:xVal>
          <c:yVal>
            <c:numRef>
              <c:f>'User Output'!$E$28:$E$36</c:f>
              <c:numCache>
                <c:ptCount val="9"/>
                <c:pt idx="0">
                  <c:v>0</c:v>
                </c:pt>
                <c:pt idx="1">
                  <c:v>0</c:v>
                </c:pt>
                <c:pt idx="2">
                  <c:v>0</c:v>
                </c:pt>
                <c:pt idx="3">
                  <c:v>0</c:v>
                </c:pt>
                <c:pt idx="4">
                  <c:v>0</c:v>
                </c:pt>
                <c:pt idx="5">
                  <c:v>0</c:v>
                </c:pt>
                <c:pt idx="6">
                  <c:v>0</c:v>
                </c:pt>
                <c:pt idx="7">
                  <c:v>0</c:v>
                </c:pt>
                <c:pt idx="8">
                  <c:v>0</c:v>
                </c:pt>
              </c:numCache>
            </c:numRef>
          </c:yVal>
          <c:smooth val="1"/>
        </c:ser>
        <c:axId val="42906283"/>
        <c:axId val="50612228"/>
      </c:scatterChart>
      <c:valAx>
        <c:axId val="42906283"/>
        <c:scaling>
          <c:orientation val="minMax"/>
        </c:scaling>
        <c:axPos val="b"/>
        <c:title>
          <c:tx>
            <c:rich>
              <a:bodyPr vert="horz" rot="0" anchor="ctr"/>
              <a:lstStyle/>
              <a:p>
                <a:pPr algn="ctr">
                  <a:defRPr/>
                </a:pPr>
                <a:r>
                  <a:rPr lang="en-US" cap="none" sz="1200" b="1" i="0" u="none" baseline="0">
                    <a:latin typeface="Arial"/>
                    <a:ea typeface="Arial"/>
                    <a:cs typeface="Arial"/>
                  </a:rPr>
                  <a:t>Volumetric Flowrate [CFM]</a:t>
                </a:r>
              </a:p>
            </c:rich>
          </c:tx>
          <c:layout/>
          <c:overlay val="0"/>
          <c:spPr>
            <a:noFill/>
            <a:ln>
              <a:noFill/>
            </a:ln>
          </c:spPr>
        </c:title>
        <c:delete val="0"/>
        <c:numFmt formatCode="General" sourceLinked="1"/>
        <c:majorTickMark val="out"/>
        <c:minorTickMark val="none"/>
        <c:tickLblPos val="nextTo"/>
        <c:crossAx val="50612228"/>
        <c:crosses val="autoZero"/>
        <c:crossBetween val="midCat"/>
        <c:dispUnits/>
      </c:valAx>
      <c:valAx>
        <c:axId val="50612228"/>
        <c:scaling>
          <c:orientation val="minMax"/>
        </c:scaling>
        <c:axPos val="l"/>
        <c:title>
          <c:tx>
            <c:rich>
              <a:bodyPr vert="horz" rot="-5400000" anchor="ctr"/>
              <a:lstStyle/>
              <a:p>
                <a:pPr algn="ctr">
                  <a:defRPr/>
                </a:pPr>
                <a:r>
                  <a:rPr lang="en-US" cap="none" sz="1200" b="1" i="0" u="none" baseline="0">
                    <a:latin typeface="Arial"/>
                    <a:ea typeface="Arial"/>
                    <a:cs typeface="Arial"/>
                  </a:rPr>
                  <a:t>Pressure Drop [in H2O]</a:t>
                </a:r>
              </a:p>
            </c:rich>
          </c:tx>
          <c:layout/>
          <c:overlay val="0"/>
          <c:spPr>
            <a:noFill/>
            <a:ln>
              <a:noFill/>
            </a:ln>
          </c:spPr>
        </c:title>
        <c:majorGridlines/>
        <c:delete val="0"/>
        <c:numFmt formatCode="General" sourceLinked="1"/>
        <c:majorTickMark val="out"/>
        <c:minorTickMark val="none"/>
        <c:tickLblPos val="nextTo"/>
        <c:crossAx val="42906283"/>
        <c:crosses val="autoZero"/>
        <c:crossBetween val="midCat"/>
        <c:dispUnits/>
      </c:valAx>
      <c:spPr>
        <a:solidFill>
          <a:srgbClr val="C0C0C0"/>
        </a:solidFill>
        <a:ln w="12700">
          <a:solidFill>
            <a:srgbClr val="808080"/>
          </a:solidFill>
        </a:ln>
      </c:spPr>
    </c:plotArea>
    <c:legend>
      <c:legendPos val="r"/>
      <c:layout>
        <c:manualLayout>
          <c:xMode val="edge"/>
          <c:yMode val="edge"/>
          <c:x val="0.22925"/>
          <c:y val="0.11025"/>
          <c:w val="0.343"/>
          <c:h val="0.24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
          <c:w val="0.8205"/>
          <c:h val="0.92475"/>
        </c:manualLayout>
      </c:layout>
      <c:scatterChart>
        <c:scatterStyle val="smoothMarker"/>
        <c:varyColors val="0"/>
        <c:ser>
          <c:idx val="0"/>
          <c:order val="0"/>
          <c:tx>
            <c:strRef>
              <c:f>'Example WG vs. Sheetmetal'!$C$18</c:f>
              <c:strCache>
                <c:ptCount val="1"/>
                <c:pt idx="0">
                  <c:v>Sheetmetal (169 holes, 9mm square)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'Example WG vs. Sheetmetal'!$B$19:$B$29</c:f>
              <c:numCache>
                <c:ptCount val="11"/>
                <c:pt idx="0">
                  <c:v>0</c:v>
                </c:pt>
                <c:pt idx="1">
                  <c:v>0</c:v>
                </c:pt>
                <c:pt idx="2">
                  <c:v>0</c:v>
                </c:pt>
                <c:pt idx="3">
                  <c:v>0</c:v>
                </c:pt>
                <c:pt idx="4">
                  <c:v>0</c:v>
                </c:pt>
                <c:pt idx="5">
                  <c:v>0</c:v>
                </c:pt>
                <c:pt idx="6">
                  <c:v>0</c:v>
                </c:pt>
                <c:pt idx="7">
                  <c:v>0</c:v>
                </c:pt>
                <c:pt idx="8">
                  <c:v>0</c:v>
                </c:pt>
                <c:pt idx="9">
                  <c:v>0</c:v>
                </c:pt>
                <c:pt idx="10">
                  <c:v>0</c:v>
                </c:pt>
              </c:numCache>
            </c:numRef>
          </c:xVal>
          <c:yVal>
            <c:numRef>
              <c:f>'Example WG vs. Sheetmetal'!$C$19:$C$29</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ser>
          <c:idx val="1"/>
          <c:order val="1"/>
          <c:tx>
            <c:strRef>
              <c:f>'Example WG vs. Sheetmetal'!$D$18</c:f>
              <c:strCache>
                <c:ptCount val="1"/>
                <c:pt idx="0">
                  <c:v>Waveguide (49 holes, 20mm square)</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'Example WG vs. Sheetmetal'!$B$19:$B$29</c:f>
              <c:numCache>
                <c:ptCount val="11"/>
                <c:pt idx="0">
                  <c:v>0</c:v>
                </c:pt>
                <c:pt idx="1">
                  <c:v>0</c:v>
                </c:pt>
                <c:pt idx="2">
                  <c:v>0</c:v>
                </c:pt>
                <c:pt idx="3">
                  <c:v>0</c:v>
                </c:pt>
                <c:pt idx="4">
                  <c:v>0</c:v>
                </c:pt>
                <c:pt idx="5">
                  <c:v>0</c:v>
                </c:pt>
                <c:pt idx="6">
                  <c:v>0</c:v>
                </c:pt>
                <c:pt idx="7">
                  <c:v>0</c:v>
                </c:pt>
                <c:pt idx="8">
                  <c:v>0</c:v>
                </c:pt>
                <c:pt idx="9">
                  <c:v>0</c:v>
                </c:pt>
                <c:pt idx="10">
                  <c:v>0</c:v>
                </c:pt>
              </c:numCache>
            </c:numRef>
          </c:xVal>
          <c:yVal>
            <c:numRef>
              <c:f>'Example WG vs. Sheetmetal'!$D$19:$D$29</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2856869"/>
        <c:axId val="5949774"/>
      </c:scatterChart>
      <c:valAx>
        <c:axId val="52856869"/>
        <c:scaling>
          <c:orientation val="minMax"/>
          <c:max val="2"/>
        </c:scaling>
        <c:axPos val="b"/>
        <c:title>
          <c:tx>
            <c:rich>
              <a:bodyPr vert="horz" rot="0" anchor="ctr"/>
              <a:lstStyle/>
              <a:p>
                <a:pPr algn="ctr">
                  <a:defRPr/>
                </a:pPr>
                <a:r>
                  <a:rPr lang="en-US" cap="none" sz="1100" b="1" i="0" u="none" baseline="0">
                    <a:latin typeface="Arial"/>
                    <a:ea typeface="Arial"/>
                    <a:cs typeface="Arial"/>
                  </a:rPr>
                  <a:t>Approach Airspeed [m/s]</a:t>
                </a:r>
              </a:p>
            </c:rich>
          </c:tx>
          <c:layout/>
          <c:overlay val="0"/>
          <c:spPr>
            <a:noFill/>
            <a:ln>
              <a:noFill/>
            </a:ln>
          </c:spPr>
        </c:title>
        <c:delete val="0"/>
        <c:numFmt formatCode="General" sourceLinked="1"/>
        <c:majorTickMark val="out"/>
        <c:minorTickMark val="none"/>
        <c:tickLblPos val="nextTo"/>
        <c:crossAx val="5949774"/>
        <c:crosses val="autoZero"/>
        <c:crossBetween val="midCat"/>
        <c:dispUnits/>
      </c:valAx>
      <c:valAx>
        <c:axId val="5949774"/>
        <c:scaling>
          <c:orientation val="minMax"/>
        </c:scaling>
        <c:axPos val="l"/>
        <c:title>
          <c:tx>
            <c:rich>
              <a:bodyPr vert="horz" rot="-5400000" anchor="ctr"/>
              <a:lstStyle/>
              <a:p>
                <a:pPr algn="ctr">
                  <a:defRPr/>
                </a:pPr>
                <a:r>
                  <a:rPr lang="en-US" cap="none" sz="1100" b="1" i="0" u="none" baseline="0">
                    <a:latin typeface="Arial"/>
                    <a:ea typeface="Arial"/>
                    <a:cs typeface="Arial"/>
                  </a:rPr>
                  <a:t>Waveguide Pressure Drop [Pa]      </a:t>
                </a:r>
              </a:p>
            </c:rich>
          </c:tx>
          <c:layout/>
          <c:overlay val="0"/>
          <c:spPr>
            <a:noFill/>
            <a:ln>
              <a:noFill/>
            </a:ln>
          </c:spPr>
        </c:title>
        <c:majorGridlines/>
        <c:delete val="0"/>
        <c:numFmt formatCode="General" sourceLinked="1"/>
        <c:majorTickMark val="out"/>
        <c:minorTickMark val="none"/>
        <c:tickLblPos val="nextTo"/>
        <c:crossAx val="52856869"/>
        <c:crosses val="autoZero"/>
        <c:crossBetween val="midCat"/>
        <c:dispUnits/>
      </c:valAx>
      <c:spPr>
        <a:solidFill>
          <a:srgbClr val="C0C0C0"/>
        </a:solidFill>
        <a:ln w="12700">
          <a:solidFill>
            <a:srgbClr val="808080"/>
          </a:solidFill>
        </a:ln>
      </c:spPr>
    </c:plotArea>
    <c:legend>
      <c:legendPos val="r"/>
      <c:layout>
        <c:manualLayout>
          <c:xMode val="edge"/>
          <c:yMode val="edge"/>
          <c:x val="0.18075"/>
          <c:y val="0.045"/>
          <c:w val="0.63625"/>
          <c:h val="0.17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 Id="rId3" Type="http://schemas.openxmlformats.org/officeDocument/2006/relationships/image" Target="../media/image13.emf" /><Relationship Id="rId4" Type="http://schemas.openxmlformats.org/officeDocument/2006/relationships/image" Target="../media/image7.emf" /><Relationship Id="rId5" Type="http://schemas.openxmlformats.org/officeDocument/2006/relationships/image" Target="../media/image3.emf" /><Relationship Id="rId6" Type="http://schemas.openxmlformats.org/officeDocument/2006/relationships/image" Target="../media/image26.emf" /><Relationship Id="rId7" Type="http://schemas.openxmlformats.org/officeDocument/2006/relationships/image" Target="../media/image20.emf" /><Relationship Id="rId8" Type="http://schemas.openxmlformats.org/officeDocument/2006/relationships/image" Target="../media/image2.emf" /><Relationship Id="rId9" Type="http://schemas.openxmlformats.org/officeDocument/2006/relationships/image" Target="../media/image19.emf" /><Relationship Id="rId10" Type="http://schemas.openxmlformats.org/officeDocument/2006/relationships/image" Target="../media/image16.emf" /><Relationship Id="rId11" Type="http://schemas.openxmlformats.org/officeDocument/2006/relationships/image" Target="../media/image25.emf" /><Relationship Id="rId12" Type="http://schemas.openxmlformats.org/officeDocument/2006/relationships/image" Target="../media/image24.emf" /><Relationship Id="rId13" Type="http://schemas.openxmlformats.org/officeDocument/2006/relationships/image" Target="../media/image9.emf" /><Relationship Id="rId14" Type="http://schemas.openxmlformats.org/officeDocument/2006/relationships/image" Target="../media/image8.emf" /><Relationship Id="rId15" Type="http://schemas.openxmlformats.org/officeDocument/2006/relationships/image" Target="../media/image12.emf" /><Relationship Id="rId16" Type="http://schemas.openxmlformats.org/officeDocument/2006/relationships/image" Target="../media/image11.emf" /><Relationship Id="rId17" Type="http://schemas.openxmlformats.org/officeDocument/2006/relationships/image" Target="../media/image15.emf" /><Relationship Id="rId18" Type="http://schemas.openxmlformats.org/officeDocument/2006/relationships/image" Target="../media/image18.emf" /><Relationship Id="rId19" Type="http://schemas.openxmlformats.org/officeDocument/2006/relationships/image" Target="../media/image17.emf" /><Relationship Id="rId20"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28575</xdr:rowOff>
    </xdr:from>
    <xdr:to>
      <xdr:col>16</xdr:col>
      <xdr:colOff>142875</xdr:colOff>
      <xdr:row>25</xdr:row>
      <xdr:rowOff>152400</xdr:rowOff>
    </xdr:to>
    <xdr:sp>
      <xdr:nvSpPr>
        <xdr:cNvPr id="1" name="Rectangle 1"/>
        <xdr:cNvSpPr>
          <a:spLocks/>
        </xdr:cNvSpPr>
      </xdr:nvSpPr>
      <xdr:spPr>
        <a:xfrm>
          <a:off x="6581775" y="28575"/>
          <a:ext cx="3314700" cy="417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Geometry is defined for insert, the single vent hole, and the vent hole pattern.  The tool calculates the number of holes in the insert from this information for geometries as shown;  however, if a geometry other than one of these standards is of interest, the tool can be utilized by specifying "Other" in the </a:t>
          </a:r>
          <a:r>
            <a:rPr lang="en-US" cap="none" sz="1200" b="1" i="0" u="none" baseline="0">
              <a:latin typeface="Arial"/>
              <a:ea typeface="Arial"/>
              <a:cs typeface="Arial"/>
            </a:rPr>
            <a:t>OVERALL GEOMETRY</a:t>
          </a:r>
          <a:r>
            <a:rPr lang="en-US" cap="none" sz="1200" b="0" i="0" u="none" baseline="0">
              <a:latin typeface="Arial"/>
              <a:ea typeface="Arial"/>
              <a:cs typeface="Arial"/>
            </a:rPr>
            <a:t> pull down menu.  
The user will then specify the </a:t>
          </a:r>
          <a:r>
            <a:rPr lang="en-US" cap="none" sz="1200" b="1" i="0" u="none" baseline="0">
              <a:latin typeface="Arial"/>
              <a:ea typeface="Arial"/>
              <a:cs typeface="Arial"/>
            </a:rPr>
            <a:t>hydraulic diameter</a:t>
          </a:r>
          <a:r>
            <a:rPr lang="en-US" cap="none" sz="1200" b="0" i="0" u="none" baseline="0">
              <a:latin typeface="Arial"/>
              <a:ea typeface="Arial"/>
              <a:cs typeface="Arial"/>
            </a:rPr>
            <a:t> (</a:t>
          </a:r>
          <a:r>
            <a:rPr lang="en-US" cap="none" sz="1200" b="0" i="1" u="none" baseline="0">
              <a:latin typeface="Arial"/>
              <a:ea typeface="Arial"/>
              <a:cs typeface="Arial"/>
            </a:rPr>
            <a:t>4*A / P;  where A is the cross-sectional area, and P is the perimeter</a:t>
          </a:r>
          <a:r>
            <a:rPr lang="en-US" cap="none" sz="1200" b="0" i="0" u="none" baseline="0">
              <a:latin typeface="Arial"/>
              <a:ea typeface="Arial"/>
              <a:cs typeface="Arial"/>
            </a:rPr>
            <a:t>) of the individual vent hole, the </a:t>
          </a:r>
          <a:r>
            <a:rPr lang="en-US" cap="none" sz="1200" b="1" i="0" u="none" baseline="0">
              <a:latin typeface="Arial"/>
              <a:ea typeface="Arial"/>
              <a:cs typeface="Arial"/>
            </a:rPr>
            <a:t>vent depth</a:t>
          </a:r>
          <a:r>
            <a:rPr lang="en-US" cap="none" sz="1200" b="0" i="0" u="none" baseline="0">
              <a:latin typeface="Arial"/>
              <a:ea typeface="Arial"/>
              <a:cs typeface="Arial"/>
            </a:rPr>
            <a:t>, and the </a:t>
          </a:r>
          <a:r>
            <a:rPr lang="en-US" cap="none" sz="1200" b="1" i="0" u="none" baseline="0">
              <a:latin typeface="Arial"/>
              <a:ea typeface="Arial"/>
              <a:cs typeface="Arial"/>
            </a:rPr>
            <a:t>percent open area</a:t>
          </a:r>
          <a:r>
            <a:rPr lang="en-US" cap="none" sz="1200" b="0" i="0" u="none" baseline="0">
              <a:latin typeface="Arial"/>
              <a:ea typeface="Arial"/>
              <a:cs typeface="Arial"/>
            </a:rPr>
            <a:t> (</a:t>
          </a:r>
          <a:r>
            <a:rPr lang="en-US" cap="none" sz="1200" b="0" i="1" u="none" baseline="0">
              <a:latin typeface="Arial"/>
              <a:ea typeface="Arial"/>
              <a:cs typeface="Arial"/>
            </a:rPr>
            <a:t>sum of all hole cross sectional areas divided by total panel cross sectional area;  always will be less than 1</a:t>
          </a:r>
          <a:r>
            <a:rPr lang="en-US" cap="none" sz="1200" b="0" i="0" u="none" baseline="0">
              <a:latin typeface="Arial"/>
              <a:ea typeface="Arial"/>
              <a:cs typeface="Arial"/>
            </a:rPr>
            <a:t>)  of the insert.  The tool will then perform the analysis to calculate the flow resistance coefficient and will plot impact to airflow parameters of the waveguide design chosen.</a:t>
          </a:r>
        </a:p>
      </xdr:txBody>
    </xdr:sp>
    <xdr:clientData/>
  </xdr:twoCellAnchor>
  <xdr:twoCellAnchor>
    <xdr:from>
      <xdr:col>0</xdr:col>
      <xdr:colOff>38100</xdr:colOff>
      <xdr:row>0</xdr:row>
      <xdr:rowOff>76200</xdr:rowOff>
    </xdr:from>
    <xdr:to>
      <xdr:col>3</xdr:col>
      <xdr:colOff>257175</xdr:colOff>
      <xdr:row>13</xdr:row>
      <xdr:rowOff>47625</xdr:rowOff>
    </xdr:to>
    <xdr:pic>
      <xdr:nvPicPr>
        <xdr:cNvPr id="2" name="Picture 3"/>
        <xdr:cNvPicPr preferRelativeResize="1">
          <a:picLocks noChangeAspect="1"/>
        </xdr:cNvPicPr>
      </xdr:nvPicPr>
      <xdr:blipFill>
        <a:blip r:embed="rId1"/>
        <a:stretch>
          <a:fillRect/>
        </a:stretch>
      </xdr:blipFill>
      <xdr:spPr>
        <a:xfrm>
          <a:off x="38100" y="76200"/>
          <a:ext cx="2047875" cy="2076450"/>
        </a:xfrm>
        <a:prstGeom prst="rect">
          <a:avLst/>
        </a:prstGeom>
        <a:noFill/>
        <a:ln w="9525" cmpd="sng">
          <a:noFill/>
        </a:ln>
      </xdr:spPr>
    </xdr:pic>
    <xdr:clientData/>
  </xdr:twoCellAnchor>
  <xdr:twoCellAnchor>
    <xdr:from>
      <xdr:col>0</xdr:col>
      <xdr:colOff>38100</xdr:colOff>
      <xdr:row>13</xdr:row>
      <xdr:rowOff>47625</xdr:rowOff>
    </xdr:from>
    <xdr:to>
      <xdr:col>6</xdr:col>
      <xdr:colOff>200025</xdr:colOff>
      <xdr:row>26</xdr:row>
      <xdr:rowOff>19050</xdr:rowOff>
    </xdr:to>
    <xdr:pic>
      <xdr:nvPicPr>
        <xdr:cNvPr id="3" name="Picture 4"/>
        <xdr:cNvPicPr preferRelativeResize="1">
          <a:picLocks noChangeAspect="1"/>
        </xdr:cNvPicPr>
      </xdr:nvPicPr>
      <xdr:blipFill>
        <a:blip r:embed="rId2"/>
        <a:stretch>
          <a:fillRect/>
        </a:stretch>
      </xdr:blipFill>
      <xdr:spPr>
        <a:xfrm>
          <a:off x="38100" y="2152650"/>
          <a:ext cx="3819525" cy="2076450"/>
        </a:xfrm>
        <a:prstGeom prst="rect">
          <a:avLst/>
        </a:prstGeom>
        <a:noFill/>
        <a:ln w="9525" cmpd="sng">
          <a:noFill/>
        </a:ln>
      </xdr:spPr>
    </xdr:pic>
    <xdr:clientData/>
  </xdr:twoCellAnchor>
  <xdr:twoCellAnchor>
    <xdr:from>
      <xdr:col>6</xdr:col>
      <xdr:colOff>190500</xdr:colOff>
      <xdr:row>13</xdr:row>
      <xdr:rowOff>47625</xdr:rowOff>
    </xdr:from>
    <xdr:to>
      <xdr:col>10</xdr:col>
      <xdr:colOff>495300</xdr:colOff>
      <xdr:row>26</xdr:row>
      <xdr:rowOff>38100</xdr:rowOff>
    </xdr:to>
    <xdr:pic>
      <xdr:nvPicPr>
        <xdr:cNvPr id="4" name="Picture 5"/>
        <xdr:cNvPicPr preferRelativeResize="1">
          <a:picLocks noChangeAspect="1"/>
        </xdr:cNvPicPr>
      </xdr:nvPicPr>
      <xdr:blipFill>
        <a:blip r:embed="rId3"/>
        <a:stretch>
          <a:fillRect/>
        </a:stretch>
      </xdr:blipFill>
      <xdr:spPr>
        <a:xfrm>
          <a:off x="3848100" y="2152650"/>
          <a:ext cx="2743200" cy="2095500"/>
        </a:xfrm>
        <a:prstGeom prst="rect">
          <a:avLst/>
        </a:prstGeom>
        <a:noFill/>
        <a:ln w="9525" cmpd="sng">
          <a:noFill/>
        </a:ln>
      </xdr:spPr>
    </xdr:pic>
    <xdr:clientData/>
  </xdr:twoCellAnchor>
  <xdr:twoCellAnchor>
    <xdr:from>
      <xdr:col>8</xdr:col>
      <xdr:colOff>314325</xdr:colOff>
      <xdr:row>0</xdr:row>
      <xdr:rowOff>76200</xdr:rowOff>
    </xdr:from>
    <xdr:to>
      <xdr:col>10</xdr:col>
      <xdr:colOff>485775</xdr:colOff>
      <xdr:row>13</xdr:row>
      <xdr:rowOff>28575</xdr:rowOff>
    </xdr:to>
    <xdr:pic>
      <xdr:nvPicPr>
        <xdr:cNvPr id="5" name="Picture 7"/>
        <xdr:cNvPicPr preferRelativeResize="1">
          <a:picLocks noChangeAspect="1"/>
        </xdr:cNvPicPr>
      </xdr:nvPicPr>
      <xdr:blipFill>
        <a:blip r:embed="rId4"/>
        <a:srcRect l="69198"/>
        <a:stretch>
          <a:fillRect/>
        </a:stretch>
      </xdr:blipFill>
      <xdr:spPr>
        <a:xfrm>
          <a:off x="5191125" y="76200"/>
          <a:ext cx="1390650" cy="2057400"/>
        </a:xfrm>
        <a:prstGeom prst="rect">
          <a:avLst/>
        </a:prstGeom>
        <a:noFill/>
        <a:ln w="9525" cmpd="sng">
          <a:noFill/>
        </a:ln>
      </xdr:spPr>
    </xdr:pic>
    <xdr:clientData/>
  </xdr:twoCellAnchor>
  <xdr:twoCellAnchor>
    <xdr:from>
      <xdr:col>3</xdr:col>
      <xdr:colOff>247650</xdr:colOff>
      <xdr:row>0</xdr:row>
      <xdr:rowOff>76200</xdr:rowOff>
    </xdr:from>
    <xdr:to>
      <xdr:col>8</xdr:col>
      <xdr:colOff>304800</xdr:colOff>
      <xdr:row>13</xdr:row>
      <xdr:rowOff>19050</xdr:rowOff>
    </xdr:to>
    <xdr:sp>
      <xdr:nvSpPr>
        <xdr:cNvPr id="6" name="Rectangle 8"/>
        <xdr:cNvSpPr>
          <a:spLocks/>
        </xdr:cNvSpPr>
      </xdr:nvSpPr>
      <xdr:spPr>
        <a:xfrm>
          <a:off x="2076450" y="76200"/>
          <a:ext cx="310515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104775</xdr:rowOff>
    </xdr:from>
    <xdr:to>
      <xdr:col>2</xdr:col>
      <xdr:colOff>914400</xdr:colOff>
      <xdr:row>15</xdr:row>
      <xdr:rowOff>47625</xdr:rowOff>
    </xdr:to>
    <xdr:grpSp>
      <xdr:nvGrpSpPr>
        <xdr:cNvPr id="1" name="Group 188"/>
        <xdr:cNvGrpSpPr>
          <a:grpSpLocks/>
        </xdr:cNvGrpSpPr>
      </xdr:nvGrpSpPr>
      <xdr:grpSpPr>
        <a:xfrm>
          <a:off x="76200" y="142875"/>
          <a:ext cx="1962150" cy="2447925"/>
          <a:chOff x="8" y="15"/>
          <a:chExt cx="206" cy="257"/>
        </a:xfrm>
        <a:solidFill>
          <a:srgbClr val="FFFFFF"/>
        </a:solidFill>
      </xdr:grpSpPr>
      <xdr:grpSp>
        <xdr:nvGrpSpPr>
          <xdr:cNvPr id="2" name="Group 184"/>
          <xdr:cNvGrpSpPr>
            <a:grpSpLocks/>
          </xdr:cNvGrpSpPr>
        </xdr:nvGrpSpPr>
        <xdr:grpSpPr>
          <a:xfrm>
            <a:off x="8" y="15"/>
            <a:ext cx="206" cy="257"/>
            <a:chOff x="8" y="15"/>
            <a:chExt cx="206" cy="257"/>
          </a:xfrm>
          <a:solidFill>
            <a:srgbClr val="FFFFFF"/>
          </a:solidFill>
        </xdr:grpSpPr>
        <xdr:sp>
          <xdr:nvSpPr>
            <xdr:cNvPr id="3" name="Rectangle 30"/>
            <xdr:cNvSpPr>
              <a:spLocks/>
            </xdr:cNvSpPr>
          </xdr:nvSpPr>
          <xdr:spPr>
            <a:xfrm>
              <a:off x="8" y="15"/>
              <a:ext cx="206" cy="257"/>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chassis_insert_geometry"/>
            <xdr:cNvPicPr preferRelativeResize="1">
              <a:picLocks noChangeAspect="0"/>
            </xdr:cNvPicPr>
          </xdr:nvPicPr>
          <xdr:blipFill>
            <a:blip r:embed="rId1"/>
            <a:stretch>
              <a:fillRect/>
            </a:stretch>
          </xdr:blipFill>
          <xdr:spPr>
            <a:xfrm>
              <a:off x="42" y="95"/>
              <a:ext cx="126" cy="25"/>
            </a:xfrm>
            <a:prstGeom prst="rect">
              <a:avLst/>
            </a:prstGeom>
            <a:noFill/>
            <a:ln w="15875" cmpd="sng">
              <a:noFill/>
            </a:ln>
          </xdr:spPr>
        </xdr:pic>
        <xdr:pic>
          <xdr:nvPicPr>
            <xdr:cNvPr id="5" name="Label1"/>
            <xdr:cNvPicPr preferRelativeResize="1">
              <a:picLocks noChangeAspect="1"/>
            </xdr:cNvPicPr>
          </xdr:nvPicPr>
          <xdr:blipFill>
            <a:blip r:embed="rId2"/>
            <a:stretch>
              <a:fillRect/>
            </a:stretch>
          </xdr:blipFill>
          <xdr:spPr>
            <a:xfrm>
              <a:off x="49" y="74"/>
              <a:ext cx="126" cy="16"/>
            </a:xfrm>
            <a:prstGeom prst="rect">
              <a:avLst/>
            </a:prstGeom>
            <a:noFill/>
            <a:ln w="15875" cmpd="sng">
              <a:noFill/>
            </a:ln>
          </xdr:spPr>
        </xdr:pic>
        <xdr:pic>
          <xdr:nvPicPr>
            <xdr:cNvPr id="6" name="vent_hole_geometry"/>
            <xdr:cNvPicPr preferRelativeResize="1">
              <a:picLocks noChangeAspect="0"/>
            </xdr:cNvPicPr>
          </xdr:nvPicPr>
          <xdr:blipFill>
            <a:blip r:embed="rId3"/>
            <a:stretch>
              <a:fillRect/>
            </a:stretch>
          </xdr:blipFill>
          <xdr:spPr>
            <a:xfrm>
              <a:off x="42" y="148"/>
              <a:ext cx="126" cy="24"/>
            </a:xfrm>
            <a:prstGeom prst="rect">
              <a:avLst/>
            </a:prstGeom>
            <a:noFill/>
            <a:ln w="15875" cmpd="sng">
              <a:noFill/>
            </a:ln>
          </xdr:spPr>
        </xdr:pic>
        <xdr:pic>
          <xdr:nvPicPr>
            <xdr:cNvPr id="7" name="Label2"/>
            <xdr:cNvPicPr preferRelativeResize="1">
              <a:picLocks noChangeAspect="1"/>
            </xdr:cNvPicPr>
          </xdr:nvPicPr>
          <xdr:blipFill>
            <a:blip r:embed="rId4"/>
            <a:stretch>
              <a:fillRect/>
            </a:stretch>
          </xdr:blipFill>
          <xdr:spPr>
            <a:xfrm>
              <a:off x="42" y="125"/>
              <a:ext cx="130" cy="17"/>
            </a:xfrm>
            <a:prstGeom prst="rect">
              <a:avLst/>
            </a:prstGeom>
            <a:noFill/>
            <a:ln w="15875" cmpd="sng">
              <a:noFill/>
            </a:ln>
          </xdr:spPr>
        </xdr:pic>
        <xdr:pic>
          <xdr:nvPicPr>
            <xdr:cNvPr id="8" name="Pattern_Geometry"/>
            <xdr:cNvPicPr preferRelativeResize="1">
              <a:picLocks noChangeAspect="0"/>
            </xdr:cNvPicPr>
          </xdr:nvPicPr>
          <xdr:blipFill>
            <a:blip r:embed="rId5"/>
            <a:stretch>
              <a:fillRect/>
            </a:stretch>
          </xdr:blipFill>
          <xdr:spPr>
            <a:xfrm>
              <a:off x="45" y="191"/>
              <a:ext cx="126" cy="24"/>
            </a:xfrm>
            <a:prstGeom prst="rect">
              <a:avLst/>
            </a:prstGeom>
            <a:noFill/>
            <a:ln w="15875" cmpd="sng">
              <a:noFill/>
            </a:ln>
          </xdr:spPr>
        </xdr:pic>
        <xdr:pic>
          <xdr:nvPicPr>
            <xdr:cNvPr id="9" name="Label3"/>
            <xdr:cNvPicPr preferRelativeResize="1">
              <a:picLocks noChangeAspect="1"/>
            </xdr:cNvPicPr>
          </xdr:nvPicPr>
          <xdr:blipFill>
            <a:blip r:embed="rId6"/>
            <a:stretch>
              <a:fillRect/>
            </a:stretch>
          </xdr:blipFill>
          <xdr:spPr>
            <a:xfrm>
              <a:off x="50" y="173"/>
              <a:ext cx="116" cy="18"/>
            </a:xfrm>
            <a:prstGeom prst="rect">
              <a:avLst/>
            </a:prstGeom>
            <a:noFill/>
            <a:ln w="15875" cmpd="sng">
              <a:noFill/>
            </a:ln>
          </xdr:spPr>
        </xdr:pic>
        <xdr:pic>
          <xdr:nvPicPr>
            <xdr:cNvPr id="10" name="ComboBox1"/>
            <xdr:cNvPicPr preferRelativeResize="1">
              <a:picLocks noChangeAspect="0"/>
            </xdr:cNvPicPr>
          </xdr:nvPicPr>
          <xdr:blipFill>
            <a:blip r:embed="rId7"/>
            <a:stretch>
              <a:fillRect/>
            </a:stretch>
          </xdr:blipFill>
          <xdr:spPr>
            <a:xfrm>
              <a:off x="20" y="240"/>
              <a:ext cx="190" cy="26"/>
            </a:xfrm>
            <a:prstGeom prst="rect">
              <a:avLst/>
            </a:prstGeom>
            <a:noFill/>
            <a:ln w="15875" cmpd="sng">
              <a:noFill/>
            </a:ln>
          </xdr:spPr>
        </xdr:pic>
        <xdr:pic>
          <xdr:nvPicPr>
            <xdr:cNvPr id="11" name="Label4"/>
            <xdr:cNvPicPr preferRelativeResize="1">
              <a:picLocks noChangeAspect="1"/>
            </xdr:cNvPicPr>
          </xdr:nvPicPr>
          <xdr:blipFill>
            <a:blip r:embed="rId8"/>
            <a:stretch>
              <a:fillRect/>
            </a:stretch>
          </xdr:blipFill>
          <xdr:spPr>
            <a:xfrm>
              <a:off x="52" y="217"/>
              <a:ext cx="116" cy="20"/>
            </a:xfrm>
            <a:prstGeom prst="rect">
              <a:avLst/>
            </a:prstGeom>
            <a:noFill/>
            <a:ln w="15875" cmpd="sng">
              <a:noFill/>
            </a:ln>
          </xdr:spPr>
        </xdr:pic>
        <xdr:pic>
          <xdr:nvPicPr>
            <xdr:cNvPr id="12" name="ComboBox2"/>
            <xdr:cNvPicPr preferRelativeResize="1">
              <a:picLocks noChangeAspect="1"/>
            </xdr:cNvPicPr>
          </xdr:nvPicPr>
          <xdr:blipFill>
            <a:blip r:embed="rId9"/>
            <a:stretch>
              <a:fillRect/>
            </a:stretch>
          </xdr:blipFill>
          <xdr:spPr>
            <a:xfrm>
              <a:off x="51" y="41"/>
              <a:ext cx="112" cy="24"/>
            </a:xfrm>
            <a:prstGeom prst="rect">
              <a:avLst/>
            </a:prstGeom>
            <a:noFill/>
            <a:ln w="15875" cmpd="sng">
              <a:noFill/>
            </a:ln>
          </xdr:spPr>
        </xdr:pic>
        <xdr:pic>
          <xdr:nvPicPr>
            <xdr:cNvPr id="13" name="Label5"/>
            <xdr:cNvPicPr preferRelativeResize="1">
              <a:picLocks noChangeAspect="1"/>
            </xdr:cNvPicPr>
          </xdr:nvPicPr>
          <xdr:blipFill>
            <a:blip r:embed="rId10"/>
            <a:stretch>
              <a:fillRect/>
            </a:stretch>
          </xdr:blipFill>
          <xdr:spPr>
            <a:xfrm>
              <a:off x="30" y="19"/>
              <a:ext cx="169" cy="18"/>
            </a:xfrm>
            <a:prstGeom prst="rect">
              <a:avLst/>
            </a:prstGeom>
            <a:noFill/>
            <a:ln w="15875" cmpd="sng">
              <a:noFill/>
            </a:ln>
          </xdr:spPr>
        </xdr:pic>
      </xdr:grpSp>
      <xdr:sp>
        <xdr:nvSpPr>
          <xdr:cNvPr id="14" name="Rectangle 185"/>
          <xdr:cNvSpPr>
            <a:spLocks/>
          </xdr:cNvSpPr>
        </xdr:nvSpPr>
        <xdr:spPr>
          <a:xfrm>
            <a:off x="11" y="219"/>
            <a:ext cx="199" cy="5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57150</xdr:colOff>
      <xdr:row>22</xdr:row>
      <xdr:rowOff>66675</xdr:rowOff>
    </xdr:from>
    <xdr:to>
      <xdr:col>2</xdr:col>
      <xdr:colOff>933450</xdr:colOff>
      <xdr:row>36</xdr:row>
      <xdr:rowOff>9525</xdr:rowOff>
    </xdr:to>
    <xdr:grpSp>
      <xdr:nvGrpSpPr>
        <xdr:cNvPr id="15" name="Group 187"/>
        <xdr:cNvGrpSpPr>
          <a:grpSpLocks/>
        </xdr:cNvGrpSpPr>
      </xdr:nvGrpSpPr>
      <xdr:grpSpPr>
        <a:xfrm>
          <a:off x="95250" y="3276600"/>
          <a:ext cx="1962150" cy="2419350"/>
          <a:chOff x="10" y="344"/>
          <a:chExt cx="206" cy="254"/>
        </a:xfrm>
        <a:solidFill>
          <a:srgbClr val="FFFFFF"/>
        </a:solidFill>
      </xdr:grpSpPr>
      <xdr:grpSp>
        <xdr:nvGrpSpPr>
          <xdr:cNvPr id="16" name="Group 183"/>
          <xdr:cNvGrpSpPr>
            <a:grpSpLocks/>
          </xdr:cNvGrpSpPr>
        </xdr:nvGrpSpPr>
        <xdr:grpSpPr>
          <a:xfrm>
            <a:off x="10" y="344"/>
            <a:ext cx="206" cy="254"/>
            <a:chOff x="19" y="356"/>
            <a:chExt cx="206" cy="244"/>
          </a:xfrm>
          <a:solidFill>
            <a:srgbClr val="FFFFFF"/>
          </a:solidFill>
        </xdr:grpSpPr>
        <xdr:sp>
          <xdr:nvSpPr>
            <xdr:cNvPr id="17" name="Rectangle 170"/>
            <xdr:cNvSpPr>
              <a:spLocks/>
            </xdr:cNvSpPr>
          </xdr:nvSpPr>
          <xdr:spPr>
            <a:xfrm>
              <a:off x="19" y="356"/>
              <a:ext cx="206" cy="244"/>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8" name="ComboBox3"/>
            <xdr:cNvPicPr preferRelativeResize="1">
              <a:picLocks noChangeAspect="0"/>
            </xdr:cNvPicPr>
          </xdr:nvPicPr>
          <xdr:blipFill>
            <a:blip r:embed="rId11"/>
            <a:stretch>
              <a:fillRect/>
            </a:stretch>
          </xdr:blipFill>
          <xdr:spPr>
            <a:xfrm>
              <a:off x="53" y="432"/>
              <a:ext cx="126" cy="24"/>
            </a:xfrm>
            <a:prstGeom prst="rect">
              <a:avLst/>
            </a:prstGeom>
            <a:noFill/>
            <a:ln w="38100" cmpd="sng">
              <a:noFill/>
            </a:ln>
          </xdr:spPr>
        </xdr:pic>
        <xdr:pic>
          <xdr:nvPicPr>
            <xdr:cNvPr id="19" name="Label6"/>
            <xdr:cNvPicPr preferRelativeResize="1">
              <a:picLocks noChangeAspect="1"/>
            </xdr:cNvPicPr>
          </xdr:nvPicPr>
          <xdr:blipFill>
            <a:blip r:embed="rId12"/>
            <a:stretch>
              <a:fillRect/>
            </a:stretch>
          </xdr:blipFill>
          <xdr:spPr>
            <a:xfrm>
              <a:off x="60" y="412"/>
              <a:ext cx="126" cy="16"/>
            </a:xfrm>
            <a:prstGeom prst="rect">
              <a:avLst/>
            </a:prstGeom>
            <a:noFill/>
            <a:ln w="38100" cmpd="sng">
              <a:noFill/>
            </a:ln>
          </xdr:spPr>
        </xdr:pic>
        <xdr:pic>
          <xdr:nvPicPr>
            <xdr:cNvPr id="20" name="ComboBox4"/>
            <xdr:cNvPicPr preferRelativeResize="1">
              <a:picLocks noChangeAspect="0"/>
            </xdr:cNvPicPr>
          </xdr:nvPicPr>
          <xdr:blipFill>
            <a:blip r:embed="rId13"/>
            <a:stretch>
              <a:fillRect/>
            </a:stretch>
          </xdr:blipFill>
          <xdr:spPr>
            <a:xfrm>
              <a:off x="53" y="482"/>
              <a:ext cx="126" cy="23"/>
            </a:xfrm>
            <a:prstGeom prst="rect">
              <a:avLst/>
            </a:prstGeom>
            <a:noFill/>
            <a:ln w="38100" cmpd="sng">
              <a:noFill/>
            </a:ln>
          </xdr:spPr>
        </xdr:pic>
        <xdr:pic>
          <xdr:nvPicPr>
            <xdr:cNvPr id="21" name="Label7"/>
            <xdr:cNvPicPr preferRelativeResize="1">
              <a:picLocks noChangeAspect="1"/>
            </xdr:cNvPicPr>
          </xdr:nvPicPr>
          <xdr:blipFill>
            <a:blip r:embed="rId14"/>
            <a:stretch>
              <a:fillRect/>
            </a:stretch>
          </xdr:blipFill>
          <xdr:spPr>
            <a:xfrm>
              <a:off x="53" y="461"/>
              <a:ext cx="130" cy="17"/>
            </a:xfrm>
            <a:prstGeom prst="rect">
              <a:avLst/>
            </a:prstGeom>
            <a:noFill/>
            <a:ln w="38100" cmpd="sng">
              <a:noFill/>
            </a:ln>
          </xdr:spPr>
        </xdr:pic>
        <xdr:pic>
          <xdr:nvPicPr>
            <xdr:cNvPr id="22" name="ComboBox5"/>
            <xdr:cNvPicPr preferRelativeResize="1">
              <a:picLocks noChangeAspect="0"/>
            </xdr:cNvPicPr>
          </xdr:nvPicPr>
          <xdr:blipFill>
            <a:blip r:embed="rId15"/>
            <a:stretch>
              <a:fillRect/>
            </a:stretch>
          </xdr:blipFill>
          <xdr:spPr>
            <a:xfrm>
              <a:off x="56" y="523"/>
              <a:ext cx="126" cy="24"/>
            </a:xfrm>
            <a:prstGeom prst="rect">
              <a:avLst/>
            </a:prstGeom>
            <a:noFill/>
            <a:ln w="38100" cmpd="sng">
              <a:noFill/>
            </a:ln>
          </xdr:spPr>
        </xdr:pic>
        <xdr:pic>
          <xdr:nvPicPr>
            <xdr:cNvPr id="23" name="Label8"/>
            <xdr:cNvPicPr preferRelativeResize="1">
              <a:picLocks noChangeAspect="1"/>
            </xdr:cNvPicPr>
          </xdr:nvPicPr>
          <xdr:blipFill>
            <a:blip r:embed="rId16"/>
            <a:stretch>
              <a:fillRect/>
            </a:stretch>
          </xdr:blipFill>
          <xdr:spPr>
            <a:xfrm>
              <a:off x="61" y="506"/>
              <a:ext cx="116" cy="18"/>
            </a:xfrm>
            <a:prstGeom prst="rect">
              <a:avLst/>
            </a:prstGeom>
            <a:noFill/>
            <a:ln w="38100" cmpd="sng">
              <a:noFill/>
            </a:ln>
          </xdr:spPr>
        </xdr:pic>
        <xdr:pic>
          <xdr:nvPicPr>
            <xdr:cNvPr id="24" name="ComboBox6"/>
            <xdr:cNvPicPr preferRelativeResize="1">
              <a:picLocks noChangeAspect="0"/>
            </xdr:cNvPicPr>
          </xdr:nvPicPr>
          <xdr:blipFill>
            <a:blip r:embed="rId17"/>
            <a:stretch>
              <a:fillRect/>
            </a:stretch>
          </xdr:blipFill>
          <xdr:spPr>
            <a:xfrm>
              <a:off x="31" y="569"/>
              <a:ext cx="190" cy="26"/>
            </a:xfrm>
            <a:prstGeom prst="rect">
              <a:avLst/>
            </a:prstGeom>
            <a:noFill/>
            <a:ln w="38100" cmpd="sng">
              <a:noFill/>
            </a:ln>
          </xdr:spPr>
        </xdr:pic>
        <xdr:pic>
          <xdr:nvPicPr>
            <xdr:cNvPr id="25" name="Label9"/>
            <xdr:cNvPicPr preferRelativeResize="1">
              <a:picLocks noChangeAspect="1"/>
            </xdr:cNvPicPr>
          </xdr:nvPicPr>
          <xdr:blipFill>
            <a:blip r:embed="rId18"/>
            <a:stretch>
              <a:fillRect/>
            </a:stretch>
          </xdr:blipFill>
          <xdr:spPr>
            <a:xfrm>
              <a:off x="63" y="548"/>
              <a:ext cx="116" cy="19"/>
            </a:xfrm>
            <a:prstGeom prst="rect">
              <a:avLst/>
            </a:prstGeom>
            <a:noFill/>
            <a:ln w="38100" cmpd="sng">
              <a:noFill/>
            </a:ln>
          </xdr:spPr>
        </xdr:pic>
        <xdr:pic>
          <xdr:nvPicPr>
            <xdr:cNvPr id="26" name="ComboBox7"/>
            <xdr:cNvPicPr preferRelativeResize="1">
              <a:picLocks noChangeAspect="1"/>
            </xdr:cNvPicPr>
          </xdr:nvPicPr>
          <xdr:blipFill>
            <a:blip r:embed="rId19"/>
            <a:stretch>
              <a:fillRect/>
            </a:stretch>
          </xdr:blipFill>
          <xdr:spPr>
            <a:xfrm>
              <a:off x="62" y="381"/>
              <a:ext cx="112" cy="23"/>
            </a:xfrm>
            <a:prstGeom prst="rect">
              <a:avLst/>
            </a:prstGeom>
            <a:noFill/>
            <a:ln w="38100" cmpd="sng">
              <a:noFill/>
            </a:ln>
          </xdr:spPr>
        </xdr:pic>
        <xdr:pic>
          <xdr:nvPicPr>
            <xdr:cNvPr id="27" name="Label10"/>
            <xdr:cNvPicPr preferRelativeResize="1">
              <a:picLocks noChangeAspect="1"/>
            </xdr:cNvPicPr>
          </xdr:nvPicPr>
          <xdr:blipFill>
            <a:blip r:embed="rId20"/>
            <a:stretch>
              <a:fillRect/>
            </a:stretch>
          </xdr:blipFill>
          <xdr:spPr>
            <a:xfrm>
              <a:off x="41" y="360"/>
              <a:ext cx="169" cy="18"/>
            </a:xfrm>
            <a:prstGeom prst="rect">
              <a:avLst/>
            </a:prstGeom>
            <a:noFill/>
            <a:ln w="38100" cmpd="sng">
              <a:noFill/>
            </a:ln>
          </xdr:spPr>
        </xdr:pic>
      </xdr:grpSp>
      <xdr:sp>
        <xdr:nvSpPr>
          <xdr:cNvPr id="28" name="Rectangle 186"/>
          <xdr:cNvSpPr>
            <a:spLocks/>
          </xdr:cNvSpPr>
        </xdr:nvSpPr>
        <xdr:spPr>
          <a:xfrm>
            <a:off x="12" y="545"/>
            <a:ext cx="199" cy="51"/>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38100</xdr:rowOff>
    </xdr:from>
    <xdr:to>
      <xdr:col>5</xdr:col>
      <xdr:colOff>1104900</xdr:colOff>
      <xdr:row>25</xdr:row>
      <xdr:rowOff>123825</xdr:rowOff>
    </xdr:to>
    <xdr:graphicFrame>
      <xdr:nvGraphicFramePr>
        <xdr:cNvPr id="1" name="Chart 1"/>
        <xdr:cNvGraphicFramePr/>
      </xdr:nvGraphicFramePr>
      <xdr:xfrm>
        <a:off x="609600" y="866775"/>
        <a:ext cx="5962650" cy="3324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0</xdr:row>
      <xdr:rowOff>19050</xdr:rowOff>
    </xdr:from>
    <xdr:to>
      <xdr:col>6</xdr:col>
      <xdr:colOff>876300</xdr:colOff>
      <xdr:row>16</xdr:row>
      <xdr:rowOff>47625</xdr:rowOff>
    </xdr:to>
    <xdr:graphicFrame>
      <xdr:nvGraphicFramePr>
        <xdr:cNvPr id="1" name="Chart 1"/>
        <xdr:cNvGraphicFramePr/>
      </xdr:nvGraphicFramePr>
      <xdr:xfrm>
        <a:off x="5076825" y="19050"/>
        <a:ext cx="4038600"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28:N37"/>
  <sheetViews>
    <sheetView tabSelected="1" zoomScale="90" zoomScaleNormal="90" workbookViewId="0" topLeftCell="A1">
      <selection activeCell="M29" sqref="M29"/>
    </sheetView>
  </sheetViews>
  <sheetFormatPr defaultColWidth="9.140625" defaultRowHeight="12.75"/>
  <sheetData>
    <row r="27" ht="13.5" thickBot="1"/>
    <row r="28" spans="2:12" ht="12.75">
      <c r="B28" s="72" t="s">
        <v>75</v>
      </c>
      <c r="C28" s="73"/>
      <c r="D28" s="73"/>
      <c r="E28" s="73"/>
      <c r="F28" s="73"/>
      <c r="G28" s="73"/>
      <c r="H28" s="73"/>
      <c r="I28" s="73"/>
      <c r="J28" s="73"/>
      <c r="K28" s="73"/>
      <c r="L28" s="74"/>
    </row>
    <row r="29" spans="2:12" ht="12.75">
      <c r="B29" s="75"/>
      <c r="C29" s="76" t="s">
        <v>68</v>
      </c>
      <c r="D29" s="76"/>
      <c r="E29" s="76"/>
      <c r="F29" s="76"/>
      <c r="G29" s="76"/>
      <c r="H29" s="76"/>
      <c r="I29" s="76"/>
      <c r="J29" s="76"/>
      <c r="K29" s="76"/>
      <c r="L29" s="77"/>
    </row>
    <row r="30" spans="2:12" ht="12.75">
      <c r="B30" s="75"/>
      <c r="C30" s="76"/>
      <c r="D30" s="76" t="s">
        <v>69</v>
      </c>
      <c r="E30" s="76"/>
      <c r="F30" s="76"/>
      <c r="G30" s="76"/>
      <c r="H30" s="76"/>
      <c r="I30" s="76"/>
      <c r="J30" s="76"/>
      <c r="K30" s="76"/>
      <c r="L30" s="77"/>
    </row>
    <row r="31" spans="2:12" ht="12.75">
      <c r="B31" s="78"/>
      <c r="C31" s="76"/>
      <c r="D31" s="76"/>
      <c r="E31" s="76" t="s">
        <v>72</v>
      </c>
      <c r="F31" s="76" t="s">
        <v>70</v>
      </c>
      <c r="G31" s="76"/>
      <c r="H31" s="76" t="s">
        <v>71</v>
      </c>
      <c r="I31" s="76"/>
      <c r="J31" s="76" t="s">
        <v>73</v>
      </c>
      <c r="K31" s="76"/>
      <c r="L31" s="77"/>
    </row>
    <row r="32" spans="2:12" ht="12.75">
      <c r="B32" s="75"/>
      <c r="C32" s="76"/>
      <c r="D32" s="76"/>
      <c r="E32" s="76"/>
      <c r="F32" s="76"/>
      <c r="G32" s="76"/>
      <c r="H32" s="76"/>
      <c r="I32" s="76"/>
      <c r="J32" s="76"/>
      <c r="K32" s="76"/>
      <c r="L32" s="77"/>
    </row>
    <row r="33" spans="2:12" ht="12.75">
      <c r="B33" s="75"/>
      <c r="C33" s="76"/>
      <c r="D33" s="76" t="s">
        <v>74</v>
      </c>
      <c r="E33" s="76"/>
      <c r="F33" s="76"/>
      <c r="G33" s="76"/>
      <c r="H33" s="76"/>
      <c r="I33" s="76"/>
      <c r="J33" s="76"/>
      <c r="K33" s="76"/>
      <c r="L33" s="77"/>
    </row>
    <row r="34" spans="2:14" ht="12.75">
      <c r="B34" s="75"/>
      <c r="C34" s="76"/>
      <c r="D34" s="76"/>
      <c r="E34" s="76" t="s">
        <v>76</v>
      </c>
      <c r="F34" s="76"/>
      <c r="G34" s="76"/>
      <c r="H34" s="76"/>
      <c r="I34" s="76"/>
      <c r="J34" s="76"/>
      <c r="K34" s="76"/>
      <c r="L34" s="77"/>
      <c r="N34" s="2" t="s">
        <v>80</v>
      </c>
    </row>
    <row r="35" spans="2:14" ht="12.75">
      <c r="B35" s="75"/>
      <c r="C35" s="76"/>
      <c r="D35" s="76"/>
      <c r="E35" s="76" t="s">
        <v>77</v>
      </c>
      <c r="F35" s="76"/>
      <c r="G35" s="76"/>
      <c r="H35" s="76"/>
      <c r="I35" s="76"/>
      <c r="J35" s="76"/>
      <c r="K35" s="76"/>
      <c r="L35" s="77"/>
      <c r="N35" s="2" t="s">
        <v>81</v>
      </c>
    </row>
    <row r="36" spans="2:12" ht="13.5" thickBot="1">
      <c r="B36" s="79"/>
      <c r="C36" s="80"/>
      <c r="D36" s="80"/>
      <c r="E36" s="80" t="s">
        <v>78</v>
      </c>
      <c r="F36" s="80"/>
      <c r="G36" s="80"/>
      <c r="H36" s="80"/>
      <c r="I36" s="80"/>
      <c r="J36" s="80"/>
      <c r="K36" s="80"/>
      <c r="L36" s="81"/>
    </row>
    <row r="37" ht="12.75">
      <c r="A37" s="2"/>
    </row>
  </sheetData>
  <sheetProtection password="DD37"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4"/>
  <dimension ref="B2:G16"/>
  <sheetViews>
    <sheetView workbookViewId="0" topLeftCell="A1">
      <selection activeCell="F11" sqref="F11"/>
    </sheetView>
  </sheetViews>
  <sheetFormatPr defaultColWidth="9.140625" defaultRowHeight="12.75"/>
  <cols>
    <col min="1" max="1" width="5.140625" style="0" customWidth="1"/>
    <col min="2" max="2" width="10.8515625" style="0" bestFit="1" customWidth="1"/>
    <col min="3" max="3" width="4.57421875" style="0" customWidth="1"/>
    <col min="5" max="5" width="5.57421875" style="0" customWidth="1"/>
    <col min="6" max="6" width="7.7109375" style="0" customWidth="1"/>
  </cols>
  <sheetData>
    <row r="2" spans="2:6" ht="15.75">
      <c r="B2" s="3" t="s">
        <v>43</v>
      </c>
      <c r="C2" s="3"/>
      <c r="D2" s="3" t="s">
        <v>44</v>
      </c>
      <c r="F2" s="3" t="s">
        <v>45</v>
      </c>
    </row>
    <row r="4" spans="2:6" ht="12.75">
      <c r="B4" s="4" t="s">
        <v>46</v>
      </c>
      <c r="C4" s="4"/>
      <c r="D4" s="4" t="s">
        <v>47</v>
      </c>
      <c r="F4" t="s">
        <v>48</v>
      </c>
    </row>
    <row r="5" spans="2:4" ht="12.75">
      <c r="B5" s="4"/>
      <c r="C5" s="4"/>
      <c r="D5" s="4"/>
    </row>
    <row r="6" spans="2:6" ht="12.75">
      <c r="B6" s="4" t="s">
        <v>49</v>
      </c>
      <c r="C6" s="4"/>
      <c r="D6" s="4" t="s">
        <v>47</v>
      </c>
      <c r="F6" t="s">
        <v>64</v>
      </c>
    </row>
    <row r="7" spans="2:7" ht="12.75">
      <c r="B7" s="4"/>
      <c r="C7" s="4"/>
      <c r="D7" s="4"/>
      <c r="G7" t="s">
        <v>65</v>
      </c>
    </row>
    <row r="8" spans="2:4" ht="12.75">
      <c r="B8" s="4"/>
      <c r="C8" s="4"/>
      <c r="D8" s="4"/>
    </row>
    <row r="9" spans="2:6" ht="12.75">
      <c r="B9" s="4" t="s">
        <v>66</v>
      </c>
      <c r="C9" s="4"/>
      <c r="D9" s="4" t="s">
        <v>67</v>
      </c>
      <c r="F9" t="s">
        <v>79</v>
      </c>
    </row>
    <row r="10" spans="2:4" ht="12.75">
      <c r="B10" s="4"/>
      <c r="C10" s="4"/>
      <c r="D10" s="4"/>
    </row>
    <row r="11" spans="2:6" ht="12.75">
      <c r="B11" s="4" t="s">
        <v>84</v>
      </c>
      <c r="C11" s="4"/>
      <c r="D11" s="4" t="s">
        <v>85</v>
      </c>
      <c r="F11" t="s">
        <v>86</v>
      </c>
    </row>
    <row r="12" spans="2:4" ht="12.75">
      <c r="B12" s="4"/>
      <c r="C12" s="4"/>
      <c r="D12" s="4"/>
    </row>
    <row r="13" spans="2:4" ht="12.75">
      <c r="B13" s="4"/>
      <c r="C13" s="4"/>
      <c r="D13" s="4"/>
    </row>
    <row r="14" spans="2:4" ht="12.75">
      <c r="B14" s="4"/>
      <c r="C14" s="4"/>
      <c r="D14" s="4"/>
    </row>
    <row r="15" spans="2:4" ht="12.75">
      <c r="B15" s="4"/>
      <c r="C15" s="4"/>
      <c r="D15" s="4"/>
    </row>
    <row r="16" spans="2:4" ht="12.75">
      <c r="B16" s="4"/>
      <c r="C16" s="4"/>
      <c r="D16" s="4"/>
    </row>
  </sheetData>
  <sheetProtection password="DD3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CoverSheet"/>
  <dimension ref="B2:J37"/>
  <sheetViews>
    <sheetView zoomScale="90" zoomScaleNormal="90" workbookViewId="0" topLeftCell="A1">
      <selection activeCell="E20" sqref="E20"/>
    </sheetView>
  </sheetViews>
  <sheetFormatPr defaultColWidth="9.140625" defaultRowHeight="12.75"/>
  <cols>
    <col min="1" max="1" width="0.5625" style="35" customWidth="1"/>
    <col min="2" max="2" width="16.28125" style="35" customWidth="1"/>
    <col min="3" max="3" width="15.57421875" style="35" customWidth="1"/>
    <col min="4" max="4" width="22.28125" style="35" bestFit="1" customWidth="1"/>
    <col min="5" max="5" width="24.8515625" style="35" bestFit="1" customWidth="1"/>
    <col min="6" max="6" width="6.140625" style="35" customWidth="1"/>
    <col min="7" max="7" width="30.8515625" style="35" bestFit="1" customWidth="1"/>
    <col min="8" max="8" width="30.57421875" style="35" bestFit="1" customWidth="1"/>
    <col min="9" max="9" width="2.140625" style="35" customWidth="1"/>
    <col min="10" max="16384" width="9.140625" style="35" customWidth="1"/>
  </cols>
  <sheetData>
    <row r="1" ht="3" customHeight="1" thickBot="1"/>
    <row r="2" spans="2:9" ht="13.5" thickBot="1">
      <c r="B2" s="36"/>
      <c r="C2" s="37"/>
      <c r="D2" s="37"/>
      <c r="E2" s="37"/>
      <c r="F2" s="37"/>
      <c r="G2" s="37"/>
      <c r="H2" s="37"/>
      <c r="I2" s="38"/>
    </row>
    <row r="3" spans="2:9" ht="16.5" thickBot="1">
      <c r="B3" s="39"/>
      <c r="C3" s="40"/>
      <c r="D3" s="98" t="str">
        <f>IF(Calculations!C24="other","","Panel 1 Geometry")</f>
        <v>Panel 1 Geometry</v>
      </c>
      <c r="E3" s="106"/>
      <c r="G3" s="98" t="s">
        <v>41</v>
      </c>
      <c r="H3" s="99"/>
      <c r="I3" s="41"/>
    </row>
    <row r="4" spans="2:9" ht="12.75">
      <c r="B4" s="39"/>
      <c r="C4" s="8"/>
      <c r="D4" s="42" t="str">
        <f>IF(Calculations!C24="other","",IF(Calculations!$C$3="rectangle","Width [m]"," "))</f>
        <v> </v>
      </c>
      <c r="E4" s="12" t="str">
        <f>IF(Calculations!C24="other","",IF(Calculations!$C$3="round","Diameter [m]",IF(Calculations!$C$3="rectangle","Height [m]","Side [m]")))</f>
        <v>Side [m]</v>
      </c>
      <c r="G4" s="26" t="str">
        <f>IF(Calculations!C24="other","",IF(Calculations!$C$14="in-line","# of Holes in X","# of Outer Holes in X"))</f>
        <v># of Outer Holes in X</v>
      </c>
      <c r="H4" s="27" t="str">
        <f>IF(Calculations!C24="other","% Open Area",IF(Calculations!$C$14="in-line","# of Holes in Y","# of Outer Holes in Y"))</f>
        <v># of Outer Holes in Y</v>
      </c>
      <c r="I4" s="41"/>
    </row>
    <row r="5" spans="2:9" ht="12.75">
      <c r="B5" s="39"/>
      <c r="C5" s="8"/>
      <c r="D5" s="100">
        <v>0.1</v>
      </c>
      <c r="E5" s="104">
        <v>0.12</v>
      </c>
      <c r="G5" s="94">
        <v>12</v>
      </c>
      <c r="H5" s="96">
        <v>8</v>
      </c>
      <c r="I5" s="41"/>
    </row>
    <row r="6" spans="2:9" ht="13.5" thickBot="1">
      <c r="B6" s="39"/>
      <c r="C6" s="8"/>
      <c r="D6" s="101"/>
      <c r="E6" s="105"/>
      <c r="G6" s="95"/>
      <c r="H6" s="97"/>
      <c r="I6" s="41"/>
    </row>
    <row r="7" spans="2:9" ht="12.75">
      <c r="B7" s="39"/>
      <c r="G7" s="43" t="str">
        <f>IF(Calculations!C24="other","",IF(Calculations!$C$14="in-line","Pitch in X, Px [m]","Pitch of Outer Holes in X, Px [m]"))</f>
        <v>Pitch of Outer Holes in X, Px [m]</v>
      </c>
      <c r="H7" s="44" t="str">
        <f>IF(Calculations!C24="other","",IF(Calculations!$C$14="in-line","Pitch in Y, Py [m]","Pitch of Outer Holes in Y, Py [m]"))</f>
        <v>Pitch of Outer Holes in Y, Py [m]</v>
      </c>
      <c r="I7" s="41"/>
    </row>
    <row r="8" spans="2:9" ht="13.5" thickBot="1">
      <c r="B8" s="39"/>
      <c r="C8" s="40"/>
      <c r="G8" s="94">
        <v>0.01</v>
      </c>
      <c r="H8" s="96">
        <v>0.015</v>
      </c>
      <c r="I8" s="41"/>
    </row>
    <row r="9" spans="2:9" ht="16.5" thickBot="1">
      <c r="B9" s="39"/>
      <c r="C9" s="8"/>
      <c r="D9" s="98" t="s">
        <v>42</v>
      </c>
      <c r="E9" s="99"/>
      <c r="G9" s="95"/>
      <c r="H9" s="97"/>
      <c r="I9" s="41"/>
    </row>
    <row r="10" spans="2:9" ht="12.75">
      <c r="B10" s="39"/>
      <c r="C10" s="8"/>
      <c r="D10" s="26" t="str">
        <f>IF(Calculations!C24="other","Hydraulic Diameter [m]",IF(Calculations!$C$8="round","Diameter [m]",IF(Calculations!$C$8="rectangle","Width [m]","Side [m]")))</f>
        <v>Diameter [m]</v>
      </c>
      <c r="E10" s="27">
        <f>IF(Calculations!C24="other","",IF(Calculations!$C$8="rectangle","Height [m]",""))</f>
      </c>
      <c r="G10" s="43" t="str">
        <f>IF(Calculations!C24="other","",IF(Calculations!$C$14="in-line"," ","Offset in X, Ox [m]"))</f>
        <v>Offset in X, Ox [m]</v>
      </c>
      <c r="H10" s="45" t="str">
        <f>IF(Calculations!C24="other","",IF(Calculations!$C$14="in-line"," ","Offset in Y, Oy [m]"))</f>
        <v>Offset in Y, Oy [m]</v>
      </c>
      <c r="I10" s="41"/>
    </row>
    <row r="11" spans="2:9" ht="12.75">
      <c r="B11" s="39"/>
      <c r="C11" s="8"/>
      <c r="D11" s="100">
        <v>0.005</v>
      </c>
      <c r="E11" s="102">
        <v>0.01</v>
      </c>
      <c r="G11" s="100">
        <v>0.005</v>
      </c>
      <c r="H11" s="104">
        <v>0.0075</v>
      </c>
      <c r="I11" s="41"/>
    </row>
    <row r="12" spans="2:9" ht="13.5" thickBot="1">
      <c r="B12" s="39"/>
      <c r="D12" s="101"/>
      <c r="E12" s="103"/>
      <c r="G12" s="101"/>
      <c r="H12" s="105"/>
      <c r="I12" s="41"/>
    </row>
    <row r="13" spans="2:9" ht="13.5" thickBot="1">
      <c r="B13" s="39"/>
      <c r="C13" s="46"/>
      <c r="D13" s="47" t="s">
        <v>15</v>
      </c>
      <c r="I13" s="41"/>
    </row>
    <row r="14" spans="2:9" ht="16.5" thickBot="1">
      <c r="B14" s="39"/>
      <c r="C14" s="8"/>
      <c r="D14" s="107">
        <v>0.002</v>
      </c>
      <c r="E14" s="48" t="s">
        <v>54</v>
      </c>
      <c r="G14" s="49" t="s">
        <v>56</v>
      </c>
      <c r="H14" s="58" t="s">
        <v>55</v>
      </c>
      <c r="I14" s="41"/>
    </row>
    <row r="15" spans="2:10" ht="16.5" thickBot="1">
      <c r="B15" s="39"/>
      <c r="C15" s="8"/>
      <c r="D15" s="87"/>
      <c r="E15" s="60" t="s">
        <v>83</v>
      </c>
      <c r="G15" s="50">
        <f>Calculations!B64</f>
        <v>30.706012091622423</v>
      </c>
      <c r="H15" s="59">
        <f>2*248.84*D19/(1.15*(H19*0.00508/(10.764*Calculations!B31))^2)</f>
        <v>2.9430242298663507</v>
      </c>
      <c r="I15" s="41"/>
      <c r="J15" s="8"/>
    </row>
    <row r="16" spans="2:10" ht="13.5" thickBot="1">
      <c r="B16" s="51"/>
      <c r="C16" s="52"/>
      <c r="D16" s="52"/>
      <c r="E16" s="52"/>
      <c r="F16" s="52"/>
      <c r="G16" s="52"/>
      <c r="H16" s="52"/>
      <c r="I16" s="53"/>
      <c r="J16" s="8"/>
    </row>
    <row r="17" spans="3:10" ht="3" customHeight="1">
      <c r="C17" s="46"/>
      <c r="J17" s="8"/>
    </row>
    <row r="18" ht="1.5" customHeight="1" thickBot="1">
      <c r="J18" s="8"/>
    </row>
    <row r="19" spans="2:10" ht="12.75">
      <c r="B19" s="88" t="s">
        <v>53</v>
      </c>
      <c r="C19" s="89"/>
      <c r="D19" s="84">
        <v>0.01</v>
      </c>
      <c r="G19" s="92" t="s">
        <v>52</v>
      </c>
      <c r="H19" s="84">
        <v>37</v>
      </c>
      <c r="J19" s="8"/>
    </row>
    <row r="20" spans="2:10" ht="13.5" thickBot="1">
      <c r="B20" s="90"/>
      <c r="C20" s="91"/>
      <c r="D20" s="85"/>
      <c r="G20" s="93"/>
      <c r="H20" s="85"/>
      <c r="J20" s="8"/>
    </row>
    <row r="21" spans="2:10" ht="4.5" customHeight="1">
      <c r="B21" s="54"/>
      <c r="C21" s="54"/>
      <c r="D21" s="55"/>
      <c r="E21" s="71"/>
      <c r="F21" s="56"/>
      <c r="G21" s="54"/>
      <c r="H21" s="55"/>
      <c r="J21" s="8"/>
    </row>
    <row r="22" ht="3.75" customHeight="1" thickBot="1">
      <c r="J22" s="8"/>
    </row>
    <row r="23" spans="2:10" ht="11.25" customHeight="1" thickBot="1">
      <c r="B23" s="36"/>
      <c r="C23" s="57"/>
      <c r="D23" s="37"/>
      <c r="E23" s="37"/>
      <c r="F23" s="37"/>
      <c r="G23" s="37"/>
      <c r="H23" s="37"/>
      <c r="I23" s="38"/>
      <c r="J23" s="8"/>
    </row>
    <row r="24" spans="2:9" ht="16.5" thickBot="1">
      <c r="B24" s="39"/>
      <c r="C24" s="8"/>
      <c r="D24" s="98">
        <f>IF(Calculations!L24="other","","Panel 2 Geometry")</f>
      </c>
      <c r="E24" s="106"/>
      <c r="G24" s="98" t="s">
        <v>50</v>
      </c>
      <c r="H24" s="99"/>
      <c r="I24" s="41"/>
    </row>
    <row r="25" spans="2:9" ht="12.75">
      <c r="B25" s="39"/>
      <c r="C25" s="8"/>
      <c r="D25" s="42">
        <f>IF(Calculations!L24="other","",IF(Calculations!$L$3="rectangle","Width [m]"," "))</f>
      </c>
      <c r="E25" s="12">
        <f>IF(Calculations!L24="other","",IF(Calculations!$L$3="round","Diameter [m]",IF(Calculations!$L$3="rectangle","Height [m]","Side [m]")))</f>
      </c>
      <c r="G25" s="26">
        <f>IF(Calculations!L24="other","",IF(Calculations!$L$14="in-line","# of Holes in X","# of Outer Holes in X"))</f>
      </c>
      <c r="H25" s="27" t="str">
        <f>IF(Calculations!L24="other","% Open Area",IF(Calculations!$L$14="in-line","# of Holes in Y","# of Outer Holes in Y"))</f>
        <v>% Open Area</v>
      </c>
      <c r="I25" s="41"/>
    </row>
    <row r="26" spans="2:9" ht="12.75">
      <c r="B26" s="39"/>
      <c r="C26" s="8"/>
      <c r="D26" s="100">
        <v>0.1</v>
      </c>
      <c r="E26" s="104">
        <v>0.22</v>
      </c>
      <c r="G26" s="94">
        <v>10</v>
      </c>
      <c r="H26" s="96">
        <v>0.75</v>
      </c>
      <c r="I26" s="41"/>
    </row>
    <row r="27" spans="2:9" ht="13.5" thickBot="1">
      <c r="B27" s="39"/>
      <c r="D27" s="101"/>
      <c r="E27" s="105"/>
      <c r="G27" s="95"/>
      <c r="H27" s="97"/>
      <c r="I27" s="41"/>
    </row>
    <row r="28" spans="2:9" ht="12.75">
      <c r="B28" s="39"/>
      <c r="G28" s="43">
        <f>IF(Calculations!L24="other","",IF(Calculations!$L$14="in-line","Pitch in X, Px [m]","Pitch of Outer Holes in X, Px [m]"))</f>
      </c>
      <c r="H28" s="44">
        <f>IF(Calculations!L24="other","",IF(Calculations!$L$14="in-line","Pitch in Y, Py [m]","Pitch of Outer Holes in Y, Py [m]"))</f>
      </c>
      <c r="I28" s="41"/>
    </row>
    <row r="29" spans="2:9" ht="13.5" thickBot="1">
      <c r="B29" s="39"/>
      <c r="G29" s="94">
        <v>0.02</v>
      </c>
      <c r="H29" s="96">
        <v>0.02</v>
      </c>
      <c r="I29" s="41"/>
    </row>
    <row r="30" spans="2:9" ht="16.5" thickBot="1">
      <c r="B30" s="39"/>
      <c r="D30" s="98" t="s">
        <v>51</v>
      </c>
      <c r="E30" s="99"/>
      <c r="G30" s="95"/>
      <c r="H30" s="97"/>
      <c r="I30" s="41"/>
    </row>
    <row r="31" spans="2:9" ht="12.75">
      <c r="B31" s="39"/>
      <c r="D31" s="26" t="str">
        <f>IF(Calculations!L24="other","Hydraulic Diameter [m]",IF(Calculations!$L$8="round","Diameter [m]",IF(Calculations!$L$8="rectangle","Width [m]","Side [m]")))</f>
        <v>Hydraulic Diameter [m]</v>
      </c>
      <c r="E31" s="27">
        <f>IF(Calculations!L24="other","",IF(Calculations!$L$8="rectangle","Height [m]",""))</f>
      </c>
      <c r="G31" s="43">
        <f>IF(Calculations!L24="other","",IF(Calculations!$L$14="in-line"," ","Offset in X, Ox [m]"))</f>
      </c>
      <c r="H31" s="45">
        <f>IF(Calculations!L24="other","",IF(Calculations!$L$14="in-line"," ","Offset in Y, Oy [m]"))</f>
      </c>
      <c r="I31" s="41"/>
    </row>
    <row r="32" spans="2:9" ht="12.75">
      <c r="B32" s="39"/>
      <c r="D32" s="100">
        <v>0.0118</v>
      </c>
      <c r="E32" s="102">
        <v>0.01</v>
      </c>
      <c r="G32" s="100"/>
      <c r="H32" s="104"/>
      <c r="I32" s="41"/>
    </row>
    <row r="33" spans="2:9" ht="13.5" thickBot="1">
      <c r="B33" s="39"/>
      <c r="D33" s="101"/>
      <c r="E33" s="103"/>
      <c r="G33" s="101"/>
      <c r="H33" s="105"/>
      <c r="I33" s="41"/>
    </row>
    <row r="34" spans="2:9" ht="13.5" thickBot="1">
      <c r="B34" s="39"/>
      <c r="D34" s="47" t="s">
        <v>15</v>
      </c>
      <c r="I34" s="41"/>
    </row>
    <row r="35" spans="2:9" ht="16.5" thickBot="1">
      <c r="B35" s="39"/>
      <c r="D35" s="86">
        <v>0.01</v>
      </c>
      <c r="E35" s="48" t="s">
        <v>57</v>
      </c>
      <c r="G35" s="58" t="s">
        <v>58</v>
      </c>
      <c r="H35" s="58" t="s">
        <v>55</v>
      </c>
      <c r="I35" s="41"/>
    </row>
    <row r="36" spans="2:9" ht="16.5" thickBot="1">
      <c r="B36" s="39"/>
      <c r="D36" s="87"/>
      <c r="E36" s="60" t="s">
        <v>82</v>
      </c>
      <c r="G36" s="50">
        <f>Calculations!K64</f>
        <v>0.42866290018832387</v>
      </c>
      <c r="H36" s="59">
        <f>2*248.84*D19/(1.15*(H19*0.00508/(10.764*Calculations!K31))^2)</f>
        <v>33.24754455977874</v>
      </c>
      <c r="I36" s="41"/>
    </row>
    <row r="37" spans="2:9" ht="7.5" customHeight="1" thickBot="1">
      <c r="B37" s="51"/>
      <c r="C37" s="52"/>
      <c r="D37" s="52"/>
      <c r="E37" s="52"/>
      <c r="F37" s="52"/>
      <c r="G37" s="52"/>
      <c r="H37" s="52"/>
      <c r="I37" s="53"/>
    </row>
  </sheetData>
  <sheetProtection password="DD37" sheet="1" objects="1" scenarios="1"/>
  <mergeCells count="32">
    <mergeCell ref="G3:H3"/>
    <mergeCell ref="G5:G6"/>
    <mergeCell ref="H5:H6"/>
    <mergeCell ref="G8:G9"/>
    <mergeCell ref="H8:H9"/>
    <mergeCell ref="D14:D15"/>
    <mergeCell ref="E11:E12"/>
    <mergeCell ref="D3:E3"/>
    <mergeCell ref="D9:E9"/>
    <mergeCell ref="G11:G12"/>
    <mergeCell ref="H11:H12"/>
    <mergeCell ref="D5:D6"/>
    <mergeCell ref="E5:E6"/>
    <mergeCell ref="D11:D12"/>
    <mergeCell ref="G32:G33"/>
    <mergeCell ref="H32:H33"/>
    <mergeCell ref="D24:E24"/>
    <mergeCell ref="G24:H24"/>
    <mergeCell ref="D26:D27"/>
    <mergeCell ref="E26:E27"/>
    <mergeCell ref="G26:G27"/>
    <mergeCell ref="H26:H27"/>
    <mergeCell ref="H19:H20"/>
    <mergeCell ref="D19:D20"/>
    <mergeCell ref="D35:D36"/>
    <mergeCell ref="B19:C20"/>
    <mergeCell ref="G19:G20"/>
    <mergeCell ref="G29:G30"/>
    <mergeCell ref="H29:H30"/>
    <mergeCell ref="D30:E30"/>
    <mergeCell ref="D32:D33"/>
    <mergeCell ref="E32:E33"/>
  </mergeCells>
  <conditionalFormatting sqref="G36">
    <cfRule type="cellIs" priority="1" dxfId="0" operator="lessThanOrEqual" stopIfTrue="1">
      <formula>$H$36</formula>
    </cfRule>
    <cfRule type="cellIs" priority="2" dxfId="1" operator="greaterThan" stopIfTrue="1">
      <formula>$H$36</formula>
    </cfRule>
  </conditionalFormatting>
  <conditionalFormatting sqref="G15">
    <cfRule type="cellIs" priority="3" dxfId="0" operator="lessThanOrEqual" stopIfTrue="1">
      <formula>$H$15</formula>
    </cfRule>
    <cfRule type="cellIs" priority="4" dxfId="1" operator="greaterThan" stopIfTrue="1">
      <formula>$H$15</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H36"/>
  <sheetViews>
    <sheetView zoomScale="90" zoomScaleNormal="90" workbookViewId="0" topLeftCell="A1">
      <selection activeCell="I7" sqref="I7"/>
    </sheetView>
  </sheetViews>
  <sheetFormatPr defaultColWidth="9.140625" defaultRowHeight="12.75"/>
  <cols>
    <col min="2" max="2" width="30.8515625" style="0" customWidth="1"/>
    <col min="3" max="3" width="14.57421875" style="1" customWidth="1"/>
    <col min="4" max="4" width="17.57421875" style="0" customWidth="1"/>
    <col min="5" max="5" width="9.8515625" style="0" customWidth="1"/>
    <col min="6" max="6" width="31.421875" style="0" customWidth="1"/>
  </cols>
  <sheetData>
    <row r="1" ht="13.5" thickBot="1"/>
    <row r="2" spans="2:8" ht="12.75">
      <c r="B2" s="61" t="str">
        <f>'User Input'!E15</f>
        <v>Case 1 Sheet Metal</v>
      </c>
      <c r="C2" s="62"/>
      <c r="D2" s="63"/>
      <c r="E2" s="5"/>
      <c r="F2" s="61" t="str">
        <f>'User Input'!E36</f>
        <v>WG &amp; Case 2 SM</v>
      </c>
      <c r="G2" s="62"/>
      <c r="H2" s="63"/>
    </row>
    <row r="3" spans="2:8" ht="12.75">
      <c r="B3" s="64" t="s">
        <v>31</v>
      </c>
      <c r="C3" s="65">
        <f>'User Input'!G15</f>
        <v>30.706012091622423</v>
      </c>
      <c r="D3" s="66"/>
      <c r="E3" s="5"/>
      <c r="F3" s="64" t="s">
        <v>31</v>
      </c>
      <c r="G3" s="65">
        <f>'User Input'!G36</f>
        <v>0.42866290018832387</v>
      </c>
      <c r="H3" s="66"/>
    </row>
    <row r="4" spans="2:8" ht="12.75">
      <c r="B4" s="64" t="s">
        <v>59</v>
      </c>
      <c r="C4" s="65">
        <f>('User Input'!H19*0.00508/(10.764*Calculations!B31))^2*1.15/(2*248.84)*'User Output'!C3</f>
        <v>0.10433489395028477</v>
      </c>
      <c r="D4" s="66" t="s">
        <v>60</v>
      </c>
      <c r="E4" s="5"/>
      <c r="F4" s="64" t="s">
        <v>59</v>
      </c>
      <c r="G4" s="65">
        <f>('User Input'!H19*0.00508/(10.764*Calculations!K31))^2*1.15/(2*248.84)*'User Output'!G3</f>
        <v>0.00012893069424047013</v>
      </c>
      <c r="H4" s="66" t="s">
        <v>60</v>
      </c>
    </row>
    <row r="5" spans="2:8" ht="13.5" thickBot="1">
      <c r="B5" s="67" t="s">
        <v>63</v>
      </c>
      <c r="C5" s="68">
        <f>Calculations!B40</f>
        <v>0.23589216019965278</v>
      </c>
      <c r="D5" s="69"/>
      <c r="E5" s="5"/>
      <c r="F5" s="67" t="s">
        <v>63</v>
      </c>
      <c r="G5" s="70">
        <f>Calculations!K40</f>
        <v>0.75</v>
      </c>
      <c r="H5" s="69"/>
    </row>
    <row r="6" spans="2:8" ht="12.75">
      <c r="B6" s="5"/>
      <c r="C6" s="6"/>
      <c r="D6" s="5"/>
      <c r="E6" s="5"/>
      <c r="F6" s="5"/>
      <c r="G6" s="5"/>
      <c r="H6" s="5"/>
    </row>
    <row r="7" spans="2:8" ht="12.75">
      <c r="B7" s="5"/>
      <c r="C7" s="6"/>
      <c r="D7" s="5"/>
      <c r="E7" s="5"/>
      <c r="F7" s="5"/>
      <c r="G7" s="5"/>
      <c r="H7" s="5"/>
    </row>
    <row r="8" spans="2:8" ht="12.75">
      <c r="B8" s="5"/>
      <c r="C8" s="6"/>
      <c r="D8" s="5"/>
      <c r="E8" s="5"/>
      <c r="F8" s="5"/>
      <c r="G8" s="5"/>
      <c r="H8" s="5"/>
    </row>
    <row r="9" spans="2:8" ht="12.75">
      <c r="B9" s="5"/>
      <c r="C9" s="6"/>
      <c r="D9" s="5"/>
      <c r="E9" s="5"/>
      <c r="F9" s="5"/>
      <c r="G9" s="5"/>
      <c r="H9" s="5"/>
    </row>
    <row r="10" spans="2:8" ht="12.75">
      <c r="B10" s="5"/>
      <c r="C10" s="6"/>
      <c r="D10" s="5"/>
      <c r="E10" s="5"/>
      <c r="F10" s="5"/>
      <c r="G10" s="5"/>
      <c r="H10" s="5"/>
    </row>
    <row r="11" spans="2:8" ht="12.75">
      <c r="B11" s="5"/>
      <c r="C11" s="6"/>
      <c r="D11" s="5"/>
      <c r="E11" s="5"/>
      <c r="F11" s="5"/>
      <c r="G11" s="5"/>
      <c r="H11" s="5"/>
    </row>
    <row r="12" spans="2:8" ht="12.75">
      <c r="B12" s="5"/>
      <c r="C12" s="6"/>
      <c r="D12" s="5"/>
      <c r="E12" s="5"/>
      <c r="F12" s="5"/>
      <c r="G12" s="5"/>
      <c r="H12" s="5"/>
    </row>
    <row r="13" spans="2:8" ht="12.75">
      <c r="B13" s="5"/>
      <c r="C13" s="6"/>
      <c r="D13" s="5"/>
      <c r="E13" s="5"/>
      <c r="F13" s="5"/>
      <c r="G13" s="5"/>
      <c r="H13" s="5"/>
    </row>
    <row r="14" spans="2:8" ht="12.75">
      <c r="B14" s="5"/>
      <c r="C14" s="6"/>
      <c r="D14" s="5"/>
      <c r="E14" s="5"/>
      <c r="F14" s="5"/>
      <c r="G14" s="5"/>
      <c r="H14" s="5"/>
    </row>
    <row r="15" spans="2:8" ht="12.75">
      <c r="B15" s="5"/>
      <c r="C15" s="6"/>
      <c r="D15" s="5"/>
      <c r="E15" s="5"/>
      <c r="F15" s="5"/>
      <c r="G15" s="5"/>
      <c r="H15" s="5"/>
    </row>
    <row r="16" spans="2:8" ht="12.75">
      <c r="B16" s="5"/>
      <c r="C16" s="6"/>
      <c r="D16" s="5"/>
      <c r="E16" s="5"/>
      <c r="F16" s="5"/>
      <c r="G16" s="5"/>
      <c r="H16" s="5"/>
    </row>
    <row r="17" spans="2:8" ht="12.75">
      <c r="B17" s="5"/>
      <c r="C17" s="6"/>
      <c r="D17" s="5"/>
      <c r="E17" s="5"/>
      <c r="F17" s="5"/>
      <c r="G17" s="5"/>
      <c r="H17" s="5"/>
    </row>
    <row r="18" spans="2:8" ht="12.75">
      <c r="B18" s="5"/>
      <c r="C18" s="6"/>
      <c r="D18" s="5"/>
      <c r="E18" s="5"/>
      <c r="F18" s="5"/>
      <c r="G18" s="5"/>
      <c r="H18" s="5"/>
    </row>
    <row r="19" spans="2:8" ht="12.75">
      <c r="B19" s="5"/>
      <c r="C19" s="6"/>
      <c r="D19" s="5"/>
      <c r="E19" s="5"/>
      <c r="F19" s="5"/>
      <c r="G19" s="5"/>
      <c r="H19" s="5"/>
    </row>
    <row r="20" spans="2:8" ht="12.75">
      <c r="B20" s="5"/>
      <c r="C20" s="6"/>
      <c r="D20" s="5"/>
      <c r="E20" s="5"/>
      <c r="F20" s="5"/>
      <c r="G20" s="5"/>
      <c r="H20" s="5"/>
    </row>
    <row r="21" spans="2:8" ht="12.75">
      <c r="B21" s="5"/>
      <c r="C21" s="6"/>
      <c r="D21" s="5"/>
      <c r="E21" s="5"/>
      <c r="F21" s="5"/>
      <c r="G21" s="5"/>
      <c r="H21" s="5"/>
    </row>
    <row r="22" spans="2:8" ht="12.75">
      <c r="B22" s="5"/>
      <c r="C22" s="6"/>
      <c r="D22" s="5"/>
      <c r="E22" s="5"/>
      <c r="F22" s="5"/>
      <c r="G22" s="5"/>
      <c r="H22" s="5"/>
    </row>
    <row r="23" spans="2:8" ht="12.75">
      <c r="B23" s="5"/>
      <c r="C23" s="6"/>
      <c r="D23" s="5"/>
      <c r="E23" s="5"/>
      <c r="F23" s="5"/>
      <c r="G23" s="5"/>
      <c r="H23" s="5"/>
    </row>
    <row r="24" spans="2:8" ht="12.75">
      <c r="B24" s="5"/>
      <c r="C24" s="6"/>
      <c r="D24" s="5"/>
      <c r="E24" s="5"/>
      <c r="F24" s="5"/>
      <c r="G24" s="5"/>
      <c r="H24" s="5"/>
    </row>
    <row r="25" spans="2:8" ht="12.75">
      <c r="B25" s="5"/>
      <c r="C25" s="6"/>
      <c r="D25" s="5"/>
      <c r="E25" s="5"/>
      <c r="F25" s="5"/>
      <c r="G25" s="5"/>
      <c r="H25" s="5"/>
    </row>
    <row r="26" spans="2:8" ht="12.75">
      <c r="B26" s="5"/>
      <c r="C26" s="6"/>
      <c r="D26" s="5"/>
      <c r="E26" s="5"/>
      <c r="F26" s="5"/>
      <c r="G26" s="5"/>
      <c r="H26" s="5"/>
    </row>
    <row r="27" spans="2:8" ht="12.75">
      <c r="B27" s="6" t="s">
        <v>61</v>
      </c>
      <c r="C27" s="82" t="str">
        <f>B2</f>
        <v>Case 1 Sheet Metal</v>
      </c>
      <c r="D27" s="83" t="str">
        <f>F2</f>
        <v>WG &amp; Case 2 SM</v>
      </c>
      <c r="E27" s="82" t="s">
        <v>62</v>
      </c>
      <c r="F27" s="5"/>
      <c r="G27" s="5"/>
      <c r="H27" s="5"/>
    </row>
    <row r="28" spans="2:8" ht="12.75">
      <c r="B28" s="6">
        <v>0</v>
      </c>
      <c r="C28" s="82">
        <f>($B28*0.00508/(10.764*Calculations!$B$31))^2*1.15/(2*248.84)*'User Output'!$C$3</f>
        <v>0</v>
      </c>
      <c r="D28" s="82">
        <f>($B28*0.00508/(10.764*Calculations!$B$31))^2*1.15/(2*248.84)*'User Output'!$G$3</f>
        <v>0</v>
      </c>
      <c r="E28" s="82">
        <f>$B28^2*('User Input'!$D$19/'User Input'!$H$19^2)</f>
        <v>0</v>
      </c>
      <c r="F28" s="5"/>
      <c r="G28" s="5"/>
      <c r="H28" s="5"/>
    </row>
    <row r="29" spans="2:8" ht="12.75">
      <c r="B29" s="6">
        <f>0.2*'User Input'!$H$19</f>
        <v>7.4</v>
      </c>
      <c r="C29" s="82">
        <f>($B29*0.00508/(10.764*Calculations!$B$31))^2*1.15/(2*248.84)*'User Output'!$C$3</f>
        <v>0.004173395758011391</v>
      </c>
      <c r="D29" s="82">
        <f>($B29*0.00508/(10.764*Calculations!$B$31))^2*1.15/(2*248.84)*'User Output'!$G$3</f>
        <v>5.826155229551616E-05</v>
      </c>
      <c r="E29" s="82">
        <f>$B29^2*('User Input'!$D$19/'User Input'!$H$19^2)</f>
        <v>0.0004</v>
      </c>
      <c r="F29" s="5"/>
      <c r="G29" s="5"/>
      <c r="H29" s="5"/>
    </row>
    <row r="30" spans="2:8" ht="12.75">
      <c r="B30" s="6">
        <f>0.4*'User Input'!$H$19</f>
        <v>14.8</v>
      </c>
      <c r="C30" s="82">
        <f>($B30*0.00508/(10.764*Calculations!$B$31))^2*1.15/(2*248.84)*'User Output'!$C$3</f>
        <v>0.016693583032045566</v>
      </c>
      <c r="D30" s="82">
        <f>($B30*0.00508/(10.764*Calculations!$B$31))^2*1.15/(2*248.84)*'User Output'!$G$3</f>
        <v>0.00023304620918206465</v>
      </c>
      <c r="E30" s="82">
        <f>$B30^2*('User Input'!$D$19/'User Input'!$H$19^2)</f>
        <v>0.0016</v>
      </c>
      <c r="F30" s="5"/>
      <c r="G30" s="5"/>
      <c r="H30" s="5"/>
    </row>
    <row r="31" spans="2:8" ht="12.75">
      <c r="B31" s="6">
        <f>0.6*'User Input'!$H$19</f>
        <v>22.2</v>
      </c>
      <c r="C31" s="82">
        <f>($B31*0.00508/(10.764*Calculations!$B$31))^2*1.15/(2*248.84)*'User Output'!$C$3</f>
        <v>0.03756056182210251</v>
      </c>
      <c r="D31" s="82">
        <f>($B31*0.00508/(10.764*Calculations!$B$31))^2*1.15/(2*248.84)*'User Output'!$G$3</f>
        <v>0.0005243539706596453</v>
      </c>
      <c r="E31" s="82">
        <f>$B31^2*('User Input'!$D$19/'User Input'!$H$19^2)</f>
        <v>0.0036</v>
      </c>
      <c r="F31" s="5"/>
      <c r="G31" s="5"/>
      <c r="H31" s="5"/>
    </row>
    <row r="32" spans="2:8" ht="12.75">
      <c r="B32" s="6">
        <f>0.8*'User Input'!$H$19</f>
        <v>29.6</v>
      </c>
      <c r="C32" s="82">
        <f>($B32*0.00508/(10.764*Calculations!$B$31))^2*1.15/(2*248.84)*'User Output'!$C$3</f>
        <v>0.06677433212818226</v>
      </c>
      <c r="D32" s="82">
        <f>($B32*0.00508/(10.764*Calculations!$B$31))^2*1.15/(2*248.84)*'User Output'!$G$3</f>
        <v>0.0009321848367282586</v>
      </c>
      <c r="E32" s="82">
        <f>$B32^2*('User Input'!$D$19/'User Input'!$H$19^2)</f>
        <v>0.0064</v>
      </c>
      <c r="F32" s="5"/>
      <c r="G32" s="5"/>
      <c r="H32" s="5"/>
    </row>
    <row r="33" spans="2:8" ht="12.75">
      <c r="B33" s="6">
        <f>1*'User Input'!$H$19</f>
        <v>37</v>
      </c>
      <c r="C33" s="82">
        <f>($B33*0.00508/(10.764*Calculations!$B$31))^2*1.15/(2*248.84)*'User Output'!$C$3</f>
        <v>0.10433489395028477</v>
      </c>
      <c r="D33" s="82">
        <f>($B33*0.00508/(10.764*Calculations!$B$31))^2*1.15/(2*248.84)*'User Output'!$G$3</f>
        <v>0.0014565388073879038</v>
      </c>
      <c r="E33" s="82">
        <f>$B33^2*('User Input'!$D$19/'User Input'!$H$19^2)</f>
        <v>0.01</v>
      </c>
      <c r="F33" s="5"/>
      <c r="G33" s="5"/>
      <c r="H33" s="5"/>
    </row>
    <row r="34" spans="2:8" ht="12.75">
      <c r="B34" s="6">
        <f>1.2*'User Input'!$H$19</f>
        <v>44.4</v>
      </c>
      <c r="C34" s="82">
        <f>($B34*0.00508/(10.764*Calculations!$B$31))^2*1.15/(2*248.84)*'User Output'!$C$3</f>
        <v>0.15024224728841004</v>
      </c>
      <c r="D34" s="82">
        <f>($B34*0.00508/(10.764*Calculations!$B$31))^2*1.15/(2*248.84)*'User Output'!$G$3</f>
        <v>0.002097415882638581</v>
      </c>
      <c r="E34" s="82">
        <f>$B34^2*('User Input'!$D$19/'User Input'!$H$19^2)</f>
        <v>0.0144</v>
      </c>
      <c r="F34" s="5"/>
      <c r="G34" s="5"/>
      <c r="H34" s="5"/>
    </row>
    <row r="35" spans="2:8" ht="12.75">
      <c r="B35" s="6">
        <f>1.4*'User Input'!$H$19</f>
        <v>51.8</v>
      </c>
      <c r="C35" s="82">
        <f>($B35*0.00508/(10.764*Calculations!$B$31))^2*1.15/(2*248.84)*'User Output'!$C$3</f>
        <v>0.20449639214255805</v>
      </c>
      <c r="D35" s="82">
        <f>($B35*0.00508/(10.764*Calculations!$B$31))^2*1.15/(2*248.84)*'User Output'!$G$3</f>
        <v>0.00285481606248029</v>
      </c>
      <c r="E35" s="82">
        <f>$B35^2*('User Input'!$D$19/'User Input'!$H$19^2)</f>
        <v>0.0196</v>
      </c>
      <c r="F35" s="5"/>
      <c r="G35" s="5"/>
      <c r="H35" s="5"/>
    </row>
    <row r="36" spans="2:8" ht="12.75">
      <c r="B36" s="6">
        <f>1.6*'User Input'!$H$19</f>
        <v>59.2</v>
      </c>
      <c r="C36" s="82">
        <f>($B36*0.00508/(10.764*Calculations!$B$31))^2*1.15/(2*248.84)*'User Output'!$C$3</f>
        <v>0.26709732851272905</v>
      </c>
      <c r="D36" s="82">
        <f>($B36*0.00508/(10.764*Calculations!$B$31))^2*1.15/(2*248.84)*'User Output'!$G$3</f>
        <v>0.0037287393469130343</v>
      </c>
      <c r="E36" s="82">
        <f>$B36^2*('User Input'!$D$19/'User Input'!$H$19^2)</f>
        <v>0.0256</v>
      </c>
      <c r="F36" s="5"/>
      <c r="G36" s="5"/>
      <c r="H36" s="5"/>
    </row>
  </sheetData>
  <sheetProtection password="DD37" sheet="1" objects="1" scenarios="1"/>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3"/>
  <dimension ref="B3:D29"/>
  <sheetViews>
    <sheetView workbookViewId="0" topLeftCell="A1">
      <selection activeCell="F26" sqref="F26"/>
    </sheetView>
  </sheetViews>
  <sheetFormatPr defaultColWidth="9.140625" defaultRowHeight="12.75"/>
  <cols>
    <col min="1" max="1" width="5.140625" style="0" customWidth="1"/>
    <col min="2" max="2" width="24.421875" style="0" customWidth="1"/>
    <col min="3" max="3" width="32.28125" style="0" bestFit="1" customWidth="1"/>
    <col min="4" max="4" width="16.140625" style="0" customWidth="1"/>
    <col min="5" max="5" width="13.28125" style="0" bestFit="1" customWidth="1"/>
    <col min="6" max="6" width="32.28125" style="0" bestFit="1" customWidth="1"/>
    <col min="7" max="7" width="31.8515625" style="0" bestFit="1" customWidth="1"/>
  </cols>
  <sheetData>
    <row r="3" ht="12.75">
      <c r="B3" t="s">
        <v>27</v>
      </c>
    </row>
    <row r="5" ht="12.75">
      <c r="B5" t="s">
        <v>28</v>
      </c>
    </row>
    <row r="7" ht="12.75">
      <c r="B7" t="s">
        <v>29</v>
      </c>
    </row>
    <row r="8" ht="12.75">
      <c r="B8" t="s">
        <v>30</v>
      </c>
    </row>
    <row r="10" ht="12.75">
      <c r="C10" s="2" t="s">
        <v>31</v>
      </c>
    </row>
    <row r="11" spans="2:4" ht="12.75">
      <c r="B11" t="s">
        <v>32</v>
      </c>
      <c r="C11">
        <v>0.613</v>
      </c>
      <c r="D11" t="s">
        <v>34</v>
      </c>
    </row>
    <row r="12" spans="2:4" ht="12.75">
      <c r="B12" t="s">
        <v>33</v>
      </c>
      <c r="C12">
        <v>0.131</v>
      </c>
      <c r="D12" t="s">
        <v>35</v>
      </c>
    </row>
    <row r="17" ht="12.75">
      <c r="C17" t="s">
        <v>37</v>
      </c>
    </row>
    <row r="18" spans="2:4" ht="12.75">
      <c r="B18" t="s">
        <v>36</v>
      </c>
      <c r="C18" t="str">
        <f>B11</f>
        <v>Sheetmetal (169 holes, 9mm square)</v>
      </c>
      <c r="D18" t="str">
        <f>B12</f>
        <v>Waveguide (49 holes, 20mm square)</v>
      </c>
    </row>
    <row r="19" spans="2:4" ht="12.75">
      <c r="B19">
        <v>0</v>
      </c>
      <c r="C19">
        <f aca="true" t="shared" si="0" ref="C19:C29">1.15*$B19^2*$C$11/2</f>
        <v>0</v>
      </c>
      <c r="D19">
        <f aca="true" t="shared" si="1" ref="D19:D29">1.15*$B19^2*$C$12/2</f>
        <v>0</v>
      </c>
    </row>
    <row r="20" spans="2:4" ht="12.75">
      <c r="B20">
        <f>B19+0.2</f>
        <v>0.2</v>
      </c>
      <c r="C20">
        <f t="shared" si="0"/>
        <v>0.014099000000000002</v>
      </c>
      <c r="D20">
        <f t="shared" si="1"/>
        <v>0.0030130000000000005</v>
      </c>
    </row>
    <row r="21" spans="2:4" ht="12.75">
      <c r="B21">
        <f aca="true" t="shared" si="2" ref="B21:B29">B20+0.2</f>
        <v>0.4</v>
      </c>
      <c r="C21">
        <f t="shared" si="0"/>
        <v>0.05639600000000001</v>
      </c>
      <c r="D21">
        <f t="shared" si="1"/>
        <v>0.012052000000000002</v>
      </c>
    </row>
    <row r="22" spans="2:4" ht="12.75">
      <c r="B22">
        <f t="shared" si="2"/>
        <v>0.6000000000000001</v>
      </c>
      <c r="C22">
        <f t="shared" si="0"/>
        <v>0.12689100000000003</v>
      </c>
      <c r="D22">
        <f t="shared" si="1"/>
        <v>0.027117000000000006</v>
      </c>
    </row>
    <row r="23" spans="2:4" ht="12.75">
      <c r="B23">
        <f t="shared" si="2"/>
        <v>0.8</v>
      </c>
      <c r="C23">
        <f t="shared" si="0"/>
        <v>0.22558400000000003</v>
      </c>
      <c r="D23">
        <f t="shared" si="1"/>
        <v>0.04820800000000001</v>
      </c>
    </row>
    <row r="24" spans="2:4" ht="12.75">
      <c r="B24">
        <f t="shared" si="2"/>
        <v>1</v>
      </c>
      <c r="C24">
        <f t="shared" si="0"/>
        <v>0.352475</v>
      </c>
      <c r="D24">
        <f t="shared" si="1"/>
        <v>0.075325</v>
      </c>
    </row>
    <row r="25" spans="2:4" ht="12.75">
      <c r="B25">
        <f t="shared" si="2"/>
        <v>1.2</v>
      </c>
      <c r="C25">
        <f t="shared" si="0"/>
        <v>0.507564</v>
      </c>
      <c r="D25">
        <f t="shared" si="1"/>
        <v>0.108468</v>
      </c>
    </row>
    <row r="26" spans="2:4" ht="12.75">
      <c r="B26">
        <f t="shared" si="2"/>
        <v>1.4</v>
      </c>
      <c r="C26">
        <f t="shared" si="0"/>
        <v>0.6908509999999999</v>
      </c>
      <c r="D26">
        <f t="shared" si="1"/>
        <v>0.147637</v>
      </c>
    </row>
    <row r="27" spans="2:4" ht="12.75">
      <c r="B27">
        <f t="shared" si="2"/>
        <v>1.5999999999999999</v>
      </c>
      <c r="C27">
        <f t="shared" si="0"/>
        <v>0.9023359999999998</v>
      </c>
      <c r="D27">
        <f t="shared" si="1"/>
        <v>0.19283199999999998</v>
      </c>
    </row>
    <row r="28" spans="2:4" ht="12.75">
      <c r="B28">
        <f t="shared" si="2"/>
        <v>1.7999999999999998</v>
      </c>
      <c r="C28">
        <f t="shared" si="0"/>
        <v>1.1420189999999997</v>
      </c>
      <c r="D28">
        <f t="shared" si="1"/>
        <v>0.24405299999999994</v>
      </c>
    </row>
    <row r="29" spans="2:4" ht="12.75">
      <c r="B29">
        <f t="shared" si="2"/>
        <v>1.9999999999999998</v>
      </c>
      <c r="C29">
        <f t="shared" si="0"/>
        <v>1.4098999999999995</v>
      </c>
      <c r="D29">
        <f t="shared" si="1"/>
        <v>0.30129999999999996</v>
      </c>
    </row>
  </sheetData>
  <sheetProtection password="DD37" sheet="1" objects="1" scenarios="1"/>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2"/>
  <dimension ref="B2:R64"/>
  <sheetViews>
    <sheetView zoomScale="90" zoomScaleNormal="90" workbookViewId="0" topLeftCell="A1">
      <selection activeCell="C18" sqref="C18"/>
    </sheetView>
  </sheetViews>
  <sheetFormatPr defaultColWidth="9.140625" defaultRowHeight="12.75"/>
  <cols>
    <col min="1" max="1" width="0.9921875" style="5" customWidth="1"/>
    <col min="2" max="2" width="25.421875" style="5" bestFit="1" customWidth="1"/>
    <col min="3" max="3" width="25.421875" style="6" bestFit="1" customWidth="1"/>
    <col min="4" max="4" width="0.5625" style="7" customWidth="1"/>
    <col min="5" max="5" width="22.28125" style="5" bestFit="1" customWidth="1"/>
    <col min="6" max="6" width="12.8515625" style="5" bestFit="1" customWidth="1"/>
    <col min="7" max="7" width="0.42578125" style="5" customWidth="1"/>
    <col min="8" max="8" width="30.8515625" style="5" bestFit="1" customWidth="1"/>
    <col min="9" max="9" width="30.57421875" style="5" bestFit="1" customWidth="1"/>
    <col min="10" max="10" width="9.140625" style="5" customWidth="1"/>
    <col min="11" max="11" width="25.421875" style="5" bestFit="1" customWidth="1"/>
    <col min="12" max="12" width="24.57421875" style="5" customWidth="1"/>
    <col min="13" max="13" width="9.140625" style="5" customWidth="1"/>
    <col min="14" max="14" width="18.140625" style="5" customWidth="1"/>
    <col min="15" max="15" width="17.57421875" style="5" customWidth="1"/>
    <col min="16" max="16" width="9.140625" style="5" customWidth="1"/>
    <col min="17" max="17" width="16.8515625" style="5" bestFit="1" customWidth="1"/>
    <col min="18" max="18" width="16.57421875" style="5" bestFit="1" customWidth="1"/>
    <col min="19" max="16384" width="9.140625" style="5" customWidth="1"/>
  </cols>
  <sheetData>
    <row r="1" ht="13.5" thickBot="1"/>
    <row r="2" spans="2:18" ht="16.5" thickBot="1">
      <c r="B2" s="134" t="s">
        <v>2</v>
      </c>
      <c r="C2" s="126"/>
      <c r="E2" s="98" t="str">
        <f>'User Input'!D3</f>
        <v>Panel 1 Geometry</v>
      </c>
      <c r="F2" s="135"/>
      <c r="G2" s="8"/>
      <c r="H2" s="98" t="str">
        <f>'User Input'!G3</f>
        <v>Panel 1 Pattern Geometry</v>
      </c>
      <c r="I2" s="99"/>
      <c r="K2" s="134" t="s">
        <v>2</v>
      </c>
      <c r="L2" s="126"/>
      <c r="M2" s="7"/>
      <c r="N2" s="98">
        <f>'User Input'!D24</f>
      </c>
      <c r="O2" s="135"/>
      <c r="P2" s="8"/>
      <c r="Q2" s="98" t="str">
        <f>'User Input'!G24</f>
        <v>Panel 2 Pattern Geometry</v>
      </c>
      <c r="R2" s="99">
        <f>'User Input'!H24</f>
        <v>0</v>
      </c>
    </row>
    <row r="3" spans="2:18" ht="12.75">
      <c r="B3" s="9" t="s">
        <v>3</v>
      </c>
      <c r="C3" s="10" t="s">
        <v>0</v>
      </c>
      <c r="E3" s="11" t="str">
        <f>'User Input'!D4</f>
        <v> </v>
      </c>
      <c r="F3" s="12" t="str">
        <f>'User Input'!E4</f>
        <v>Side [m]</v>
      </c>
      <c r="G3" s="8"/>
      <c r="H3" s="12" t="str">
        <f>'User Input'!G4</f>
        <v># of Outer Holes in X</v>
      </c>
      <c r="I3" s="12" t="str">
        <f>'User Input'!H4</f>
        <v># of Outer Holes in Y</v>
      </c>
      <c r="K3" s="9" t="s">
        <v>3</v>
      </c>
      <c r="L3" s="10" t="s">
        <v>0</v>
      </c>
      <c r="M3" s="7"/>
      <c r="N3" s="12">
        <f>'User Input'!D25</f>
      </c>
      <c r="O3" s="12">
        <f>'User Input'!E25</f>
      </c>
      <c r="P3" s="8"/>
      <c r="Q3" s="12">
        <f>'User Input'!G25</f>
      </c>
      <c r="R3" s="12" t="str">
        <f>'User Input'!H25</f>
        <v>% Open Area</v>
      </c>
    </row>
    <row r="4" spans="2:18" ht="12.75">
      <c r="B4" s="9" t="s">
        <v>0</v>
      </c>
      <c r="C4" s="13"/>
      <c r="E4" s="130">
        <f>'User Input'!D5</f>
        <v>0.1</v>
      </c>
      <c r="F4" s="136">
        <f>'User Input'!E5</f>
        <v>0.12</v>
      </c>
      <c r="G4" s="8"/>
      <c r="H4" s="130">
        <f>'User Input'!G5</f>
        <v>12</v>
      </c>
      <c r="I4" s="130">
        <f>'User Input'!H5</f>
        <v>8</v>
      </c>
      <c r="K4" s="9" t="s">
        <v>0</v>
      </c>
      <c r="L4" s="13"/>
      <c r="M4" s="7"/>
      <c r="N4" s="130">
        <f>'User Input'!D26</f>
        <v>0.1</v>
      </c>
      <c r="O4" s="136">
        <f>'User Input'!E26</f>
        <v>0.22</v>
      </c>
      <c r="P4" s="8"/>
      <c r="Q4" s="130">
        <f>'User Input'!G26</f>
        <v>10</v>
      </c>
      <c r="R4" s="130">
        <f>'User Input'!H26</f>
        <v>0.75</v>
      </c>
    </row>
    <row r="5" spans="2:18" ht="13.5" thickBot="1">
      <c r="B5" s="14" t="s">
        <v>1</v>
      </c>
      <c r="C5" s="15"/>
      <c r="E5" s="131"/>
      <c r="F5" s="137"/>
      <c r="G5" s="8"/>
      <c r="H5" s="131"/>
      <c r="I5" s="131"/>
      <c r="K5" s="14" t="s">
        <v>1</v>
      </c>
      <c r="L5" s="15"/>
      <c r="M5" s="7"/>
      <c r="N5" s="131">
        <f>'User Input'!D27</f>
        <v>0</v>
      </c>
      <c r="O5" s="137"/>
      <c r="P5" s="8"/>
      <c r="Q5" s="131">
        <f>'User Input'!G27</f>
        <v>0</v>
      </c>
      <c r="R5" s="131">
        <f>'User Input'!H27</f>
        <v>0</v>
      </c>
    </row>
    <row r="6" spans="2:18" ht="13.5" thickBot="1">
      <c r="B6" s="16"/>
      <c r="C6" s="17"/>
      <c r="E6" s="17"/>
      <c r="F6" s="8"/>
      <c r="G6" s="8"/>
      <c r="H6" s="12" t="str">
        <f>'User Input'!G7</f>
        <v>Pitch of Outer Holes in X, Px [m]</v>
      </c>
      <c r="I6" s="12" t="str">
        <f>'User Input'!H7</f>
        <v>Pitch of Outer Holes in Y, Py [m]</v>
      </c>
      <c r="K6" s="16"/>
      <c r="L6" s="17"/>
      <c r="M6" s="7"/>
      <c r="N6" s="17"/>
      <c r="O6" s="8"/>
      <c r="P6" s="8"/>
      <c r="Q6" s="12">
        <f>'User Input'!G28</f>
      </c>
      <c r="R6" s="12">
        <f>'User Input'!H28</f>
      </c>
    </row>
    <row r="7" spans="2:18" ht="13.5" thickBot="1">
      <c r="B7" s="134" t="s">
        <v>4</v>
      </c>
      <c r="C7" s="126"/>
      <c r="E7" s="8"/>
      <c r="F7" s="8"/>
      <c r="G7" s="8"/>
      <c r="H7" s="130">
        <f>'User Input'!G8</f>
        <v>0.01</v>
      </c>
      <c r="I7" s="130">
        <f>'User Input'!H8</f>
        <v>0.015</v>
      </c>
      <c r="K7" s="134" t="s">
        <v>4</v>
      </c>
      <c r="L7" s="126"/>
      <c r="M7" s="7"/>
      <c r="N7" s="8"/>
      <c r="O7" s="8"/>
      <c r="P7" s="8"/>
      <c r="Q7" s="130">
        <f>'User Input'!G29</f>
        <v>0.02</v>
      </c>
      <c r="R7" s="130">
        <f>'User Input'!H29</f>
        <v>0.02</v>
      </c>
    </row>
    <row r="8" spans="2:18" ht="16.5" thickBot="1">
      <c r="B8" s="9" t="s">
        <v>3</v>
      </c>
      <c r="C8" s="10" t="s">
        <v>3</v>
      </c>
      <c r="E8" s="98" t="str">
        <f>'User Input'!D9</f>
        <v>Panel 1 Vent Hole Geometry</v>
      </c>
      <c r="F8" s="99"/>
      <c r="G8" s="8"/>
      <c r="H8" s="131"/>
      <c r="I8" s="131"/>
      <c r="K8" s="9" t="s">
        <v>3</v>
      </c>
      <c r="L8" s="10" t="s">
        <v>3</v>
      </c>
      <c r="M8" s="7"/>
      <c r="N8" s="98" t="str">
        <f>'User Input'!D30</f>
        <v>Panel 2 Vent Hole Geometry</v>
      </c>
      <c r="O8" s="99">
        <f>'User Input'!E30</f>
        <v>0</v>
      </c>
      <c r="P8" s="8"/>
      <c r="Q8" s="131">
        <f>'User Input'!G30</f>
        <v>0</v>
      </c>
      <c r="R8" s="131">
        <f>'User Input'!H30</f>
        <v>0</v>
      </c>
    </row>
    <row r="9" spans="2:18" ht="12.75">
      <c r="B9" s="9" t="s">
        <v>0</v>
      </c>
      <c r="C9" s="13"/>
      <c r="E9" s="12" t="str">
        <f>'User Input'!D10</f>
        <v>Diameter [m]</v>
      </c>
      <c r="F9" s="11">
        <f>'User Input'!E10</f>
      </c>
      <c r="G9" s="8"/>
      <c r="H9" s="12" t="str">
        <f>'User Input'!G10</f>
        <v>Offset in X, Ox [m]</v>
      </c>
      <c r="I9" s="12" t="str">
        <f>'User Input'!H10</f>
        <v>Offset in Y, Oy [m]</v>
      </c>
      <c r="K9" s="9" t="s">
        <v>0</v>
      </c>
      <c r="L9" s="13"/>
      <c r="M9" s="7"/>
      <c r="N9" s="12" t="str">
        <f>'User Input'!D31</f>
        <v>Hydraulic Diameter [m]</v>
      </c>
      <c r="O9" s="12">
        <f>'User Input'!E31</f>
      </c>
      <c r="P9" s="8"/>
      <c r="Q9" s="12">
        <f>'User Input'!G31</f>
      </c>
      <c r="R9" s="12">
        <f>'User Input'!H31</f>
      </c>
    </row>
    <row r="10" spans="2:18" ht="12.75">
      <c r="B10" s="9" t="s">
        <v>1</v>
      </c>
      <c r="C10" s="13"/>
      <c r="E10" s="130">
        <f>'User Input'!D11</f>
        <v>0.005</v>
      </c>
      <c r="F10" s="136">
        <f>'User Input'!E11</f>
        <v>0.01</v>
      </c>
      <c r="G10" s="8"/>
      <c r="H10" s="130">
        <f>'User Input'!G11</f>
        <v>0.005</v>
      </c>
      <c r="I10" s="130">
        <f>'User Input'!H11</f>
        <v>0.0075</v>
      </c>
      <c r="K10" s="9" t="s">
        <v>1</v>
      </c>
      <c r="L10" s="13"/>
      <c r="M10" s="7"/>
      <c r="N10" s="130">
        <f>'User Input'!D32</f>
        <v>0.0118</v>
      </c>
      <c r="O10" s="132">
        <f>'User Input'!E32</f>
        <v>0.01</v>
      </c>
      <c r="P10" s="8"/>
      <c r="Q10" s="130">
        <f>'User Input'!G32</f>
        <v>0</v>
      </c>
      <c r="R10" s="130">
        <f>'User Input'!H32</f>
        <v>0</v>
      </c>
    </row>
    <row r="11" spans="2:18" ht="13.5" thickBot="1">
      <c r="B11" s="14" t="s">
        <v>5</v>
      </c>
      <c r="C11" s="15"/>
      <c r="E11" s="131"/>
      <c r="F11" s="137"/>
      <c r="G11" s="8"/>
      <c r="H11" s="131"/>
      <c r="I11" s="131"/>
      <c r="K11" s="14" t="s">
        <v>5</v>
      </c>
      <c r="L11" s="15"/>
      <c r="M11" s="7"/>
      <c r="N11" s="131">
        <f>'User Input'!D33</f>
        <v>0</v>
      </c>
      <c r="O11" s="133">
        <f>'User Input'!E33</f>
        <v>0</v>
      </c>
      <c r="P11" s="8"/>
      <c r="Q11" s="131">
        <f>'User Input'!G33</f>
        <v>0</v>
      </c>
      <c r="R11" s="131">
        <f>'User Input'!H33</f>
        <v>0</v>
      </c>
    </row>
    <row r="12" spans="2:14" ht="13.5" thickBot="1">
      <c r="B12" s="16"/>
      <c r="C12" s="17"/>
      <c r="E12" s="18" t="str">
        <f>'User Input'!D13</f>
        <v>Depth [m]</v>
      </c>
      <c r="K12" s="16"/>
      <c r="L12" s="17"/>
      <c r="M12" s="7"/>
      <c r="N12" s="18" t="str">
        <f>'User Input'!D34</f>
        <v>Depth [m]</v>
      </c>
    </row>
    <row r="13" spans="2:14" ht="13.5" thickBot="1">
      <c r="B13" s="125" t="s">
        <v>6</v>
      </c>
      <c r="C13" s="126"/>
      <c r="E13" s="127">
        <f>'User Input'!D14</f>
        <v>0.002</v>
      </c>
      <c r="K13" s="125" t="s">
        <v>6</v>
      </c>
      <c r="L13" s="126"/>
      <c r="M13" s="7"/>
      <c r="N13" s="127">
        <f>'User Input'!D35</f>
        <v>0.01</v>
      </c>
    </row>
    <row r="14" spans="2:14" ht="13.5" thickBot="1">
      <c r="B14" s="9" t="s">
        <v>7</v>
      </c>
      <c r="C14" s="10" t="s">
        <v>7</v>
      </c>
      <c r="E14" s="128"/>
      <c r="K14" s="9" t="s">
        <v>7</v>
      </c>
      <c r="L14" s="10" t="s">
        <v>8</v>
      </c>
      <c r="M14" s="7"/>
      <c r="N14" s="128">
        <f>'User Input'!D36</f>
        <v>0</v>
      </c>
    </row>
    <row r="15" spans="2:13" ht="13.5" thickBot="1">
      <c r="B15" s="14" t="s">
        <v>8</v>
      </c>
      <c r="C15" s="15"/>
      <c r="K15" s="14" t="s">
        <v>8</v>
      </c>
      <c r="L15" s="15"/>
      <c r="M15" s="7"/>
    </row>
    <row r="16" spans="2:13" ht="13.5" thickBot="1">
      <c r="B16" s="16"/>
      <c r="C16" s="17"/>
      <c r="K16" s="16"/>
      <c r="L16" s="17"/>
      <c r="M16" s="7"/>
    </row>
    <row r="17" spans="2:13" ht="13.5" thickBot="1">
      <c r="B17" s="125" t="s">
        <v>9</v>
      </c>
      <c r="C17" s="126"/>
      <c r="K17" s="125" t="s">
        <v>9</v>
      </c>
      <c r="L17" s="126"/>
      <c r="M17" s="7"/>
    </row>
    <row r="18" spans="2:13" ht="12.75">
      <c r="B18" s="9" t="s">
        <v>12</v>
      </c>
      <c r="C18" s="10" t="s">
        <v>12</v>
      </c>
      <c r="K18" s="9" t="s">
        <v>12</v>
      </c>
      <c r="L18" s="10" t="s">
        <v>12</v>
      </c>
      <c r="M18" s="7"/>
    </row>
    <row r="19" spans="2:13" ht="12.75">
      <c r="B19" s="9" t="s">
        <v>10</v>
      </c>
      <c r="C19" s="13"/>
      <c r="K19" s="19" t="s">
        <v>10</v>
      </c>
      <c r="L19" s="13"/>
      <c r="M19" s="7"/>
    </row>
    <row r="20" spans="2:15" ht="12.75">
      <c r="B20" s="9" t="s">
        <v>11</v>
      </c>
      <c r="C20" s="13"/>
      <c r="F20" s="20"/>
      <c r="K20" s="19" t="s">
        <v>11</v>
      </c>
      <c r="L20" s="13"/>
      <c r="M20" s="7"/>
      <c r="O20" s="20"/>
    </row>
    <row r="21" spans="2:15" ht="13.5" thickBot="1">
      <c r="B21" s="14" t="s">
        <v>14</v>
      </c>
      <c r="C21" s="15"/>
      <c r="F21" s="20"/>
      <c r="K21" s="21" t="s">
        <v>14</v>
      </c>
      <c r="L21" s="15"/>
      <c r="M21" s="7"/>
      <c r="O21" s="20"/>
    </row>
    <row r="22" spans="2:15" ht="13.5" thickBot="1">
      <c r="B22" s="8"/>
      <c r="C22" s="8"/>
      <c r="F22" s="20"/>
      <c r="K22" s="8"/>
      <c r="L22" s="8"/>
      <c r="M22" s="7"/>
      <c r="O22" s="20"/>
    </row>
    <row r="23" spans="2:15" ht="13.5" thickBot="1">
      <c r="B23" s="125" t="s">
        <v>38</v>
      </c>
      <c r="C23" s="129"/>
      <c r="F23" s="20"/>
      <c r="K23" s="125" t="s">
        <v>38</v>
      </c>
      <c r="L23" s="129"/>
      <c r="M23" s="7"/>
      <c r="O23" s="20"/>
    </row>
    <row r="24" spans="2:15" ht="12.75">
      <c r="B24" s="9" t="s">
        <v>39</v>
      </c>
      <c r="C24" s="10" t="s">
        <v>39</v>
      </c>
      <c r="F24" s="20"/>
      <c r="K24" s="9" t="s">
        <v>39</v>
      </c>
      <c r="L24" s="10" t="s">
        <v>40</v>
      </c>
      <c r="M24" s="7"/>
      <c r="O24" s="20"/>
    </row>
    <row r="25" spans="2:13" ht="13.5" thickBot="1">
      <c r="B25" s="14" t="s">
        <v>40</v>
      </c>
      <c r="C25" s="15"/>
      <c r="K25" s="14" t="s">
        <v>40</v>
      </c>
      <c r="L25" s="15"/>
      <c r="M25" s="7"/>
    </row>
    <row r="26" spans="12:13" ht="13.5" thickBot="1">
      <c r="L26" s="6"/>
      <c r="M26" s="7"/>
    </row>
    <row r="27" spans="2:13" ht="12.75">
      <c r="B27" s="108" t="s">
        <v>16</v>
      </c>
      <c r="C27" s="122"/>
      <c r="K27" s="108" t="s">
        <v>16</v>
      </c>
      <c r="L27" s="122"/>
      <c r="M27" s="7"/>
    </row>
    <row r="28" spans="2:13" ht="13.5" thickBot="1">
      <c r="B28" s="123">
        <f>IF(Calculations!C24="other",E10,IF(C8="hexagon",2.309401*E10,IF(C8="recangle",(4*E10*F10)/(2*E10+2*F10),E10)))</f>
        <v>0.005</v>
      </c>
      <c r="C28" s="111"/>
      <c r="K28" s="123">
        <f>IF(Calculations!L24="other",N10,IF(L8="hexagon",2.309401*N10,IF(L8="recangle",(4*N10*O10)/(2*N10+2*O10),N10)))</f>
        <v>0.0118</v>
      </c>
      <c r="L28" s="111"/>
      <c r="M28" s="7"/>
    </row>
    <row r="29" spans="2:13" ht="13.5" thickBot="1">
      <c r="B29" s="118"/>
      <c r="C29" s="124"/>
      <c r="K29" s="118"/>
      <c r="L29" s="124"/>
      <c r="M29" s="7"/>
    </row>
    <row r="30" spans="2:13" ht="12.75">
      <c r="B30" s="119" t="s">
        <v>17</v>
      </c>
      <c r="C30" s="109" t="s">
        <v>13</v>
      </c>
      <c r="K30" s="119" t="s">
        <v>17</v>
      </c>
      <c r="L30" s="109" t="s">
        <v>13</v>
      </c>
      <c r="M30" s="7"/>
    </row>
    <row r="31" spans="2:13" ht="13.5" thickBot="1">
      <c r="B31" s="112">
        <f>IF(C3="round",3.1415927*F4^2/4,IF(C3="square",F4^2,F4*E4))</f>
        <v>0.0144</v>
      </c>
      <c r="C31" s="113"/>
      <c r="K31" s="112">
        <f>IF(L3="round",3.1415927*O4^2/4,IF(L3="square",O4^2,O4*N4))</f>
        <v>0.0484</v>
      </c>
      <c r="L31" s="113"/>
      <c r="M31" s="7"/>
    </row>
    <row r="32" spans="2:13" ht="13.5" thickBot="1">
      <c r="B32" s="120"/>
      <c r="C32" s="118"/>
      <c r="K32" s="120"/>
      <c r="L32" s="118"/>
      <c r="M32" s="7"/>
    </row>
    <row r="33" spans="2:13" ht="12.75">
      <c r="B33" s="108" t="s">
        <v>18</v>
      </c>
      <c r="C33" s="109"/>
      <c r="K33" s="108" t="s">
        <v>18</v>
      </c>
      <c r="L33" s="109"/>
      <c r="M33" s="7"/>
    </row>
    <row r="34" spans="2:13" ht="13.5" thickBot="1">
      <c r="B34" s="121">
        <f>IF(C14="in-line",IF(C8="round",3.1415927/4*E10^2*H4*I4,IF(C8="square",E10^2*H4*I4,IF(C8="rectangle",E10*F10*H4*I4,3.4641*E10^2*H4*I4))),IF(C8="round",3.1415927/4*E10^2*(H4*I4+(H4-1)*(I4-1)),IF(C8="square",E10^2*(H4*I4+(H4-1)*(I4-1)),IF(C8="rectangle",E10*F10*(H4*I4+(H4-1)*(I4-1)),3.4641*E10^2*(H4*I4+(H4-1)*(I4-1))))))</f>
        <v>0.003396847106875</v>
      </c>
      <c r="C34" s="113"/>
      <c r="K34" s="121">
        <f>IF(L14="in-line",IF(L8="round",3.1415927/4*N10^2*Q4*R4,IF(L8="square",N10^2*Q4*R4,IF(L8="rectangle",N10*O10*Q4*R4,3.4641*N10^2*Q4*R4))),IF(L8="round",3.1415927/4*N10^2*(Q4*R4+(Q4-1)*(R4-1)),IF(L8="square",N10^2*(Q4*R4+(Q4-1)*(R4-1)),IF(L8="rectangle",N10*O10*(Q4*R4+(Q4-1)*(R4-1)),3.4641*N10^2*(Q4*R4+(Q4-1)*(R4-1))))))</f>
        <v>0.0008201913141524999</v>
      </c>
      <c r="L34" s="113"/>
      <c r="M34" s="7"/>
    </row>
    <row r="35" spans="2:13" ht="13.5" thickBot="1">
      <c r="B35" s="118"/>
      <c r="C35" s="118"/>
      <c r="K35" s="118"/>
      <c r="L35" s="118"/>
      <c r="M35" s="7"/>
    </row>
    <row r="36" spans="2:13" ht="12.75">
      <c r="B36" s="119" t="s">
        <v>17</v>
      </c>
      <c r="C36" s="109"/>
      <c r="K36" s="119" t="s">
        <v>17</v>
      </c>
      <c r="L36" s="109"/>
      <c r="M36" s="7"/>
    </row>
    <row r="37" spans="2:13" ht="13.5" thickBot="1">
      <c r="B37" s="112">
        <f>IF(C3="square",F4^2,IF(C3="round",3.1415927/4*F4^2,E4*F4))</f>
        <v>0.0144</v>
      </c>
      <c r="C37" s="113"/>
      <c r="K37" s="112">
        <f>IF(L3="square",O4^2,IF(L3="round",3.1415927/4*O4^2,N4*O4))</f>
        <v>0.0484</v>
      </c>
      <c r="L37" s="113"/>
      <c r="M37" s="7"/>
    </row>
    <row r="38" spans="2:13" ht="13.5" thickBot="1">
      <c r="B38" s="120"/>
      <c r="C38" s="118"/>
      <c r="K38" s="120"/>
      <c r="L38" s="118"/>
      <c r="M38" s="7"/>
    </row>
    <row r="39" spans="2:13" ht="12.75">
      <c r="B39" s="108" t="s">
        <v>19</v>
      </c>
      <c r="C39" s="109"/>
      <c r="K39" s="108" t="s">
        <v>19</v>
      </c>
      <c r="L39" s="109"/>
      <c r="M39" s="7"/>
    </row>
    <row r="40" spans="2:13" ht="13.5" thickBot="1">
      <c r="B40" s="116">
        <f>IF(Calculations!C24="other",I4,B34/B37)</f>
        <v>0.23589216019965278</v>
      </c>
      <c r="C40" s="117"/>
      <c r="K40" s="116">
        <f>IF(Calculations!L24="other",R4,K34/K37)</f>
        <v>0.75</v>
      </c>
      <c r="L40" s="117"/>
      <c r="M40" s="7"/>
    </row>
    <row r="41" spans="2:13" ht="13.5" thickBot="1">
      <c r="B41" s="118"/>
      <c r="C41" s="118"/>
      <c r="K41" s="118"/>
      <c r="L41" s="118"/>
      <c r="M41" s="7"/>
    </row>
    <row r="42" spans="2:13" ht="12.75">
      <c r="B42" s="119" t="s">
        <v>20</v>
      </c>
      <c r="C42" s="109"/>
      <c r="K42" s="119" t="s">
        <v>20</v>
      </c>
      <c r="L42" s="109"/>
      <c r="M42" s="7"/>
    </row>
    <row r="43" spans="2:13" ht="13.5" thickBot="1">
      <c r="B43" s="112">
        <f>E13/B28</f>
        <v>0.4</v>
      </c>
      <c r="C43" s="113"/>
      <c r="K43" s="112">
        <f>N13/K28</f>
        <v>0.8474576271186441</v>
      </c>
      <c r="L43" s="113"/>
      <c r="M43" s="7"/>
    </row>
    <row r="44" spans="12:13" ht="13.5" thickBot="1">
      <c r="L44" s="6"/>
      <c r="M44" s="7"/>
    </row>
    <row r="45" spans="2:13" ht="12.75">
      <c r="B45" s="108" t="s">
        <v>22</v>
      </c>
      <c r="C45" s="109"/>
      <c r="K45" s="108" t="s">
        <v>22</v>
      </c>
      <c r="L45" s="109"/>
      <c r="M45" s="7"/>
    </row>
    <row r="46" spans="2:13" ht="13.5" thickBot="1">
      <c r="B46" s="110">
        <f>IF(B43&lt;=B51,E50,IF(B43&lt;=B52,E51,IF(B43&lt;=B53,E52,IF(B43&lt;=B54,E53,IF(B43&lt;=B455,E54,IF(B43&lt;=B56,E55,IF(B43&lt;=B57,E56,IF(B43&lt;=B58,E57,0))))))))</f>
        <v>1.0999999999999994</v>
      </c>
      <c r="C46" s="111"/>
      <c r="K46" s="110">
        <f>IF(K43&lt;=K51,N50,IF(K43&lt;=K52,N51,IF(K43&lt;=K53,N52,IF(K43&lt;=K54,N53,IF(K43&lt;=K455,N54,IF(K43&lt;=K56,N55,IF(K43&lt;=K57,N56,IF(K43&lt;=K58,N57,0))))))))</f>
        <v>0.29338983050847434</v>
      </c>
      <c r="L46" s="111"/>
      <c r="M46" s="7"/>
    </row>
    <row r="47" spans="4:14" ht="13.5" thickBot="1">
      <c r="D47" s="22"/>
      <c r="E47" s="23"/>
      <c r="L47" s="6"/>
      <c r="M47" s="22"/>
      <c r="N47" s="23"/>
    </row>
    <row r="48" spans="2:14" ht="16.5" thickBot="1">
      <c r="B48" s="114" t="s">
        <v>23</v>
      </c>
      <c r="C48" s="115"/>
      <c r="D48" s="24"/>
      <c r="E48" s="25" t="s">
        <v>24</v>
      </c>
      <c r="K48" s="114" t="s">
        <v>23</v>
      </c>
      <c r="L48" s="115"/>
      <c r="M48" s="24"/>
      <c r="N48" s="25" t="s">
        <v>24</v>
      </c>
    </row>
    <row r="49" spans="2:14" ht="12.75">
      <c r="B49" s="26" t="s">
        <v>21</v>
      </c>
      <c r="C49" s="27" t="s">
        <v>22</v>
      </c>
      <c r="D49" s="24"/>
      <c r="E49" s="28"/>
      <c r="K49" s="26" t="s">
        <v>21</v>
      </c>
      <c r="L49" s="27" t="s">
        <v>22</v>
      </c>
      <c r="M49" s="24"/>
      <c r="N49" s="28"/>
    </row>
    <row r="50" spans="2:14" ht="12.75">
      <c r="B50" s="29">
        <v>0</v>
      </c>
      <c r="C50" s="30">
        <v>1.35</v>
      </c>
      <c r="D50" s="24"/>
      <c r="E50" s="28">
        <f>FORECAST($B$43,C50:C51,B50:B51)</f>
        <v>1.0899999999999992</v>
      </c>
      <c r="K50" s="29">
        <v>0</v>
      </c>
      <c r="L50" s="30">
        <v>1.35</v>
      </c>
      <c r="M50" s="24"/>
      <c r="N50" s="28">
        <f aca="true" t="shared" si="0" ref="N50:N57">FORECAST($K$43,L50:L51,K50:K51)</f>
        <v>0.7991525423728791</v>
      </c>
    </row>
    <row r="51" spans="2:14" ht="12.75">
      <c r="B51" s="29">
        <v>0.2</v>
      </c>
      <c r="C51" s="30">
        <v>1.22</v>
      </c>
      <c r="D51" s="24"/>
      <c r="E51" s="28">
        <f aca="true" t="shared" si="1" ref="E51:E57">FORECAST($B$43,C51:C52,B51:B52)</f>
        <v>1.0999999999999994</v>
      </c>
      <c r="K51" s="29">
        <v>0.2</v>
      </c>
      <c r="L51" s="30">
        <v>1.22</v>
      </c>
      <c r="M51" s="24"/>
      <c r="N51" s="28">
        <f t="shared" si="0"/>
        <v>0.8315254237288101</v>
      </c>
    </row>
    <row r="52" spans="2:14" ht="12.75">
      <c r="B52" s="29">
        <v>0.4</v>
      </c>
      <c r="C52" s="30">
        <v>1.1</v>
      </c>
      <c r="D52" s="24"/>
      <c r="E52" s="28">
        <f t="shared" si="1"/>
        <v>1.0999999999999994</v>
      </c>
      <c r="K52" s="29">
        <v>0.4</v>
      </c>
      <c r="L52" s="30">
        <v>1.1</v>
      </c>
      <c r="M52" s="24"/>
      <c r="N52" s="28">
        <f t="shared" si="0"/>
        <v>0.5183050847457644</v>
      </c>
    </row>
    <row r="53" spans="2:14" ht="12.75">
      <c r="B53" s="29">
        <v>0.6</v>
      </c>
      <c r="C53" s="30">
        <v>0.84</v>
      </c>
      <c r="D53" s="24"/>
      <c r="E53" s="28">
        <f t="shared" si="1"/>
        <v>1.2599999999999931</v>
      </c>
      <c r="K53" s="29">
        <v>0.6</v>
      </c>
      <c r="L53" s="30">
        <v>0.84</v>
      </c>
      <c r="M53" s="24"/>
      <c r="N53" s="28">
        <f t="shared" si="0"/>
        <v>0.3203389830508505</v>
      </c>
    </row>
    <row r="54" spans="2:14" ht="12.75">
      <c r="B54" s="29">
        <v>0.8</v>
      </c>
      <c r="C54" s="30">
        <v>0.42</v>
      </c>
      <c r="D54" s="24"/>
      <c r="E54" s="28">
        <f t="shared" si="1"/>
        <v>0.7799999999999971</v>
      </c>
      <c r="K54" s="29">
        <v>0.8</v>
      </c>
      <c r="L54" s="30">
        <v>0.42</v>
      </c>
      <c r="M54" s="24"/>
      <c r="N54" s="28">
        <f t="shared" si="0"/>
        <v>0.37728813559321994</v>
      </c>
    </row>
    <row r="55" spans="2:14" ht="12.75">
      <c r="B55" s="29">
        <v>1</v>
      </c>
      <c r="C55" s="30">
        <v>0.24</v>
      </c>
      <c r="D55" s="24"/>
      <c r="E55" s="28">
        <f t="shared" si="1"/>
        <v>0.44999999999999946</v>
      </c>
      <c r="K55" s="29">
        <v>1</v>
      </c>
      <c r="L55" s="30">
        <v>0.24</v>
      </c>
      <c r="M55" s="24"/>
      <c r="N55" s="28">
        <f t="shared" si="0"/>
        <v>0.29338983050847434</v>
      </c>
    </row>
    <row r="56" spans="2:14" ht="12.75">
      <c r="B56" s="29">
        <v>1.4</v>
      </c>
      <c r="C56" s="30">
        <v>0.1</v>
      </c>
      <c r="D56" s="24"/>
      <c r="E56" s="28">
        <f t="shared" si="1"/>
        <v>0.23333333333333292</v>
      </c>
      <c r="K56" s="29">
        <v>1.4</v>
      </c>
      <c r="L56" s="30">
        <v>0.1</v>
      </c>
      <c r="M56" s="24"/>
      <c r="N56" s="28">
        <f t="shared" si="0"/>
        <v>0.17367231638418051</v>
      </c>
    </row>
    <row r="57" spans="2:14" ht="13.5" thickBot="1">
      <c r="B57" s="29">
        <v>2</v>
      </c>
      <c r="C57" s="30">
        <v>0.02</v>
      </c>
      <c r="D57" s="31"/>
      <c r="E57" s="32">
        <f t="shared" si="1"/>
        <v>0.05200000000000001</v>
      </c>
      <c r="K57" s="29">
        <v>2</v>
      </c>
      <c r="L57" s="30">
        <v>0.02</v>
      </c>
      <c r="M57" s="31"/>
      <c r="N57" s="32">
        <f t="shared" si="0"/>
        <v>0.04305084745762713</v>
      </c>
    </row>
    <row r="58" spans="2:13" ht="13.5" thickBot="1">
      <c r="B58" s="33">
        <v>3</v>
      </c>
      <c r="C58" s="34">
        <v>0</v>
      </c>
      <c r="K58" s="33">
        <v>3</v>
      </c>
      <c r="L58" s="34">
        <v>0</v>
      </c>
      <c r="M58" s="7"/>
    </row>
    <row r="59" spans="12:13" ht="13.5" thickBot="1">
      <c r="L59" s="6"/>
      <c r="M59" s="7"/>
    </row>
    <row r="60" spans="2:13" ht="12.75">
      <c r="B60" s="108" t="s">
        <v>25</v>
      </c>
      <c r="C60" s="109"/>
      <c r="K60" s="108" t="s">
        <v>25</v>
      </c>
      <c r="L60" s="109"/>
      <c r="M60" s="7"/>
    </row>
    <row r="61" spans="2:13" ht="13.5" thickBot="1">
      <c r="B61" s="110">
        <v>0.02</v>
      </c>
      <c r="C61" s="111"/>
      <c r="K61" s="110">
        <v>0.02</v>
      </c>
      <c r="L61" s="111"/>
      <c r="M61" s="7"/>
    </row>
    <row r="62" spans="12:13" ht="13.5" thickBot="1">
      <c r="L62" s="6"/>
      <c r="M62" s="7"/>
    </row>
    <row r="63" spans="2:13" ht="12.75">
      <c r="B63" s="108" t="s">
        <v>26</v>
      </c>
      <c r="C63" s="109"/>
      <c r="K63" s="108" t="s">
        <v>26</v>
      </c>
      <c r="L63" s="109"/>
      <c r="M63" s="7"/>
    </row>
    <row r="64" spans="2:13" ht="13.5" thickBot="1">
      <c r="B64" s="110">
        <f>((0.5+B46*SQRT(1-B40))*(1-B40)+(1-B40)^2+B61*B43)/B40^2</f>
        <v>30.706012091622423</v>
      </c>
      <c r="C64" s="111"/>
      <c r="K64" s="110">
        <f>((0.5+K46*SQRT(1-K40))*(1-K40)+(1-K40)^2+K61*K43)/K40^2</f>
        <v>0.42866290018832387</v>
      </c>
      <c r="L64" s="111"/>
      <c r="M64" s="7"/>
    </row>
  </sheetData>
  <sheetProtection password="DD37" sheet="1" objects="1" scenarios="1"/>
  <mergeCells count="86">
    <mergeCell ref="B60:C60"/>
    <mergeCell ref="B61:C61"/>
    <mergeCell ref="B63:C63"/>
    <mergeCell ref="B64:C64"/>
    <mergeCell ref="B43:C43"/>
    <mergeCell ref="B48:C48"/>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C2"/>
    <mergeCell ref="B7:C7"/>
    <mergeCell ref="B13:C13"/>
    <mergeCell ref="B17:C17"/>
    <mergeCell ref="F4:F5"/>
    <mergeCell ref="I4:I5"/>
    <mergeCell ref="E2:F2"/>
    <mergeCell ref="H2:I2"/>
    <mergeCell ref="E4:E5"/>
    <mergeCell ref="H4:H5"/>
    <mergeCell ref="B23:C23"/>
    <mergeCell ref="H10:H11"/>
    <mergeCell ref="I7:I8"/>
    <mergeCell ref="F10:F11"/>
    <mergeCell ref="I10:I11"/>
    <mergeCell ref="H7:H8"/>
    <mergeCell ref="E8:F8"/>
    <mergeCell ref="E10:E11"/>
    <mergeCell ref="E13:E14"/>
    <mergeCell ref="K2:L2"/>
    <mergeCell ref="N2:O2"/>
    <mergeCell ref="Q2:R2"/>
    <mergeCell ref="N4:N5"/>
    <mergeCell ref="O4:O5"/>
    <mergeCell ref="Q4:Q5"/>
    <mergeCell ref="R4:R5"/>
    <mergeCell ref="K7:L7"/>
    <mergeCell ref="Q7:Q8"/>
    <mergeCell ref="R7:R8"/>
    <mergeCell ref="N8:O8"/>
    <mergeCell ref="N10:N11"/>
    <mergeCell ref="O10:O11"/>
    <mergeCell ref="Q10:Q11"/>
    <mergeCell ref="R10:R11"/>
    <mergeCell ref="K13:L13"/>
    <mergeCell ref="N13:N14"/>
    <mergeCell ref="K17:L17"/>
    <mergeCell ref="K23:L23"/>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5:L45"/>
    <mergeCell ref="K46:L46"/>
    <mergeCell ref="K48:L48"/>
    <mergeCell ref="K60:L60"/>
    <mergeCell ref="K61:L61"/>
    <mergeCell ref="K63:L63"/>
    <mergeCell ref="K64:L6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Pollard</dc:creator>
  <cp:keywords/>
  <dc:description/>
  <cp:lastModifiedBy>Lloyd Pollard</cp:lastModifiedBy>
  <dcterms:created xsi:type="dcterms:W3CDTF">2000-06-02T23:05:53Z</dcterms:created>
  <dcterms:modified xsi:type="dcterms:W3CDTF">2001-02-22T21:58:18Z</dcterms:modified>
  <cp:category/>
  <cp:version/>
  <cp:contentType/>
  <cp:contentStatus/>
</cp:coreProperties>
</file>